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tables/table16.xml" ContentType="application/vnd.openxmlformats-officedocument.spreadsheetml.table+xml"/>
  <Override PartName="/xl/tables/table17.xml" ContentType="application/vnd.openxmlformats-officedocument.spreadsheetml.table+xml"/>
  <Override PartName="/xl/tables/table18.xml" ContentType="application/vnd.openxmlformats-officedocument.spreadsheetml.table+xml"/>
  <Override PartName="/xl/tables/table19.xml" ContentType="application/vnd.openxmlformats-officedocument.spreadsheetml.table+xml"/>
  <Override PartName="/xl/tables/table2.xml" ContentType="application/vnd.openxmlformats-officedocument.spreadsheetml.table+xml"/>
  <Override PartName="/xl/tables/table20.xml" ContentType="application/vnd.openxmlformats-officedocument.spreadsheetml.table+xml"/>
  <Override PartName="/xl/tables/table21.xml" ContentType="application/vnd.openxmlformats-officedocument.spreadsheetml.table+xml"/>
  <Override PartName="/xl/tables/table22.xml" ContentType="application/vnd.openxmlformats-officedocument.spreadsheetml.table+xml"/>
  <Override PartName="/xl/tables/table23.xml" ContentType="application/vnd.openxmlformats-officedocument.spreadsheetml.table+xml"/>
  <Override PartName="/xl/tables/table24.xml" ContentType="application/vnd.openxmlformats-officedocument.spreadsheetml.table+xml"/>
  <Override PartName="/xl/tables/table25.xml" ContentType="application/vnd.openxmlformats-officedocument.spreadsheetml.table+xml"/>
  <Override PartName="/xl/tables/table26.xml" ContentType="application/vnd.openxmlformats-officedocument.spreadsheetml.table+xml"/>
  <Override PartName="/xl/tables/table27.xml" ContentType="application/vnd.openxmlformats-officedocument.spreadsheetml.table+xml"/>
  <Override PartName="/xl/tables/table28.xml" ContentType="application/vnd.openxmlformats-officedocument.spreadsheetml.table+xml"/>
  <Override PartName="/xl/tables/table29.xml" ContentType="application/vnd.openxmlformats-officedocument.spreadsheetml.table+xml"/>
  <Override PartName="/xl/tables/table3.xml" ContentType="application/vnd.openxmlformats-officedocument.spreadsheetml.table+xml"/>
  <Override PartName="/xl/tables/table30.xml" ContentType="application/vnd.openxmlformats-officedocument.spreadsheetml.table+xml"/>
  <Override PartName="/xl/tables/table31.xml" ContentType="application/vnd.openxmlformats-officedocument.spreadsheetml.table+xml"/>
  <Override PartName="/xl/tables/table32.xml" ContentType="application/vnd.openxmlformats-officedocument.spreadsheetml.table+xml"/>
  <Override PartName="/xl/tables/table33.xml" ContentType="application/vnd.openxmlformats-officedocument.spreadsheetml.table+xml"/>
  <Override PartName="/xl/tables/table34.xml" ContentType="application/vnd.openxmlformats-officedocument.spreadsheetml.table+xml"/>
  <Override PartName="/xl/tables/table35.xml" ContentType="application/vnd.openxmlformats-officedocument.spreadsheetml.table+xml"/>
  <Override PartName="/xl/tables/table36.xml" ContentType="application/vnd.openxmlformats-officedocument.spreadsheetml.table+xml"/>
  <Override PartName="/xl/tables/table37.xml" ContentType="application/vnd.openxmlformats-officedocument.spreadsheetml.table+xml"/>
  <Override PartName="/xl/tables/table38.xml" ContentType="application/vnd.openxmlformats-officedocument.spreadsheetml.table+xml"/>
  <Override PartName="/xl/tables/table39.xml" ContentType="application/vnd.openxmlformats-officedocument.spreadsheetml.table+xml"/>
  <Override PartName="/xl/tables/table4.xml" ContentType="application/vnd.openxmlformats-officedocument.spreadsheetml.table+xml"/>
  <Override PartName="/xl/tables/table40.xml" ContentType="application/vnd.openxmlformats-officedocument.spreadsheetml.table+xml"/>
  <Override PartName="/xl/tables/table41.xml" ContentType="application/vnd.openxmlformats-officedocument.spreadsheetml.table+xml"/>
  <Override PartName="/xl/tables/table42.xml" ContentType="application/vnd.openxmlformats-officedocument.spreadsheetml.table+xml"/>
  <Override PartName="/xl/tables/table43.xml" ContentType="application/vnd.openxmlformats-officedocument.spreadsheetml.table+xml"/>
  <Override PartName="/xl/tables/table44.xml" ContentType="application/vnd.openxmlformats-officedocument.spreadsheetml.table+xml"/>
  <Override PartName="/xl/tables/table45.xml" ContentType="application/vnd.openxmlformats-officedocument.spreadsheetml.table+xml"/>
  <Override PartName="/xl/tables/table46.xml" ContentType="application/vnd.openxmlformats-officedocument.spreadsheetml.table+xml"/>
  <Override PartName="/xl/tables/table47.xml" ContentType="application/vnd.openxmlformats-officedocument.spreadsheetml.table+xml"/>
  <Override PartName="/xl/tables/table48.xml" ContentType="application/vnd.openxmlformats-officedocument.spreadsheetml.table+xml"/>
  <Override PartName="/xl/tables/table49.xml" ContentType="application/vnd.openxmlformats-officedocument.spreadsheetml.table+xml"/>
  <Override PartName="/xl/tables/table5.xml" ContentType="application/vnd.openxmlformats-officedocument.spreadsheetml.table+xml"/>
  <Override PartName="/xl/tables/table50.xml" ContentType="application/vnd.openxmlformats-officedocument.spreadsheetml.table+xml"/>
  <Override PartName="/xl/tables/table51.xml" ContentType="application/vnd.openxmlformats-officedocument.spreadsheetml.table+xml"/>
  <Override PartName="/xl/tables/table52.xml" ContentType="application/vnd.openxmlformats-officedocument.spreadsheetml.table+xml"/>
  <Override PartName="/xl/tables/table53.xml" ContentType="application/vnd.openxmlformats-officedocument.spreadsheetml.table+xml"/>
  <Override PartName="/xl/tables/table54.xml" ContentType="application/vnd.openxmlformats-officedocument.spreadsheetml.table+xml"/>
  <Override PartName="/xl/tables/table55.xml" ContentType="application/vnd.openxmlformats-officedocument.spreadsheetml.table+xml"/>
  <Override PartName="/xl/tables/table56.xml" ContentType="application/vnd.openxmlformats-officedocument.spreadsheetml.table+xml"/>
  <Override PartName="/xl/tables/table57.xml" ContentType="application/vnd.openxmlformats-officedocument.spreadsheetml.table+xml"/>
  <Override PartName="/xl/tables/table58.xml" ContentType="application/vnd.openxmlformats-officedocument.spreadsheetml.table+xml"/>
  <Override PartName="/xl/tables/table59.xml" ContentType="application/vnd.openxmlformats-officedocument.spreadsheetml.table+xml"/>
  <Override PartName="/xl/tables/table6.xml" ContentType="application/vnd.openxmlformats-officedocument.spreadsheetml.table+xml"/>
  <Override PartName="/xl/tables/table60.xml" ContentType="application/vnd.openxmlformats-officedocument.spreadsheetml.table+xml"/>
  <Override PartName="/xl/tables/table61.xml" ContentType="application/vnd.openxmlformats-officedocument.spreadsheetml.table+xml"/>
  <Override PartName="/xl/tables/table62.xml" ContentType="application/vnd.openxmlformats-officedocument.spreadsheetml.table+xml"/>
  <Override PartName="/xl/tables/table63.xml" ContentType="application/vnd.openxmlformats-officedocument.spreadsheetml.table+xml"/>
  <Override PartName="/xl/tables/table64.xml" ContentType="application/vnd.openxmlformats-officedocument.spreadsheetml.table+xml"/>
  <Override PartName="/xl/tables/table65.xml" ContentType="application/vnd.openxmlformats-officedocument.spreadsheetml.table+xml"/>
  <Override PartName="/xl/tables/table66.xml" ContentType="application/vnd.openxmlformats-officedocument.spreadsheetml.table+xml"/>
  <Override PartName="/xl/tables/table67.xml" ContentType="application/vnd.openxmlformats-officedocument.spreadsheetml.table+xml"/>
  <Override PartName="/xl/tables/table68.xml" ContentType="application/vnd.openxmlformats-officedocument.spreadsheetml.table+xml"/>
  <Override PartName="/xl/tables/table69.xml" ContentType="application/vnd.openxmlformats-officedocument.spreadsheetml.table+xml"/>
  <Override PartName="/xl/tables/table7.xml" ContentType="application/vnd.openxmlformats-officedocument.spreadsheetml.table+xml"/>
  <Override PartName="/xl/tables/table70.xml" ContentType="application/vnd.openxmlformats-officedocument.spreadsheetml.table+xml"/>
  <Override PartName="/xl/tables/table71.xml" ContentType="application/vnd.openxmlformats-officedocument.spreadsheetml.table+xml"/>
  <Override PartName="/xl/tables/table72.xml" ContentType="application/vnd.openxmlformats-officedocument.spreadsheetml.table+xml"/>
  <Override PartName="/xl/tables/table73.xml" ContentType="application/vnd.openxmlformats-officedocument.spreadsheetml.table+xml"/>
  <Override PartName="/xl/tables/table74.xml" ContentType="application/vnd.openxmlformats-officedocument.spreadsheetml.table+xml"/>
  <Override PartName="/xl/tables/table75.xml" ContentType="application/vnd.openxmlformats-officedocument.spreadsheetml.table+xml"/>
  <Override PartName="/xl/tables/table76.xml" ContentType="application/vnd.openxmlformats-officedocument.spreadsheetml.table+xml"/>
  <Override PartName="/xl/tables/table77.xml" ContentType="application/vnd.openxmlformats-officedocument.spreadsheetml.table+xml"/>
  <Override PartName="/xl/tables/table78.xml" ContentType="application/vnd.openxmlformats-officedocument.spreadsheetml.table+xml"/>
  <Override PartName="/xl/tables/table79.xml" ContentType="application/vnd.openxmlformats-officedocument.spreadsheetml.table+xml"/>
  <Override PartName="/xl/tables/table8.xml" ContentType="application/vnd.openxmlformats-officedocument.spreadsheetml.table+xml"/>
  <Override PartName="/xl/tables/table80.xml" ContentType="application/vnd.openxmlformats-officedocument.spreadsheetml.table+xml"/>
  <Override PartName="/xl/tables/table81.xml" ContentType="application/vnd.openxmlformats-officedocument.spreadsheetml.table+xml"/>
  <Override PartName="/xl/tables/table82.xml" ContentType="application/vnd.openxmlformats-officedocument.spreadsheetml.table+xml"/>
  <Override PartName="/xl/tables/table83.xml" ContentType="application/vnd.openxmlformats-officedocument.spreadsheetml.table+xml"/>
  <Override PartName="/xl/tables/table84.xml" ContentType="application/vnd.openxmlformats-officedocument.spreadsheetml.table+xml"/>
  <Override PartName="/xl/tables/table85.xml" ContentType="application/vnd.openxmlformats-officedocument.spreadsheetml.table+xml"/>
  <Override PartName="/xl/tables/table86.xml" ContentType="application/vnd.openxmlformats-officedocument.spreadsheetml.table+xml"/>
  <Override PartName="/xl/tables/table87.xml" ContentType="application/vnd.openxmlformats-officedocument.spreadsheetml.table+xml"/>
  <Override PartName="/xl/tables/table88.xml" ContentType="application/vnd.openxmlformats-officedocument.spreadsheetml.table+xml"/>
  <Override PartName="/xl/tables/table89.xml" ContentType="application/vnd.openxmlformats-officedocument.spreadsheetml.table+xml"/>
  <Override PartName="/xl/tables/table9.xml" ContentType="application/vnd.openxmlformats-officedocument.spreadsheetml.table+xml"/>
  <Override PartName="/xl/tables/table90.xml" ContentType="application/vnd.openxmlformats-officedocument.spreadsheetml.table+xml"/>
  <Override PartName="/xl/tables/table91.xml" ContentType="application/vnd.openxmlformats-officedocument.spreadsheetml.table+xml"/>
  <Override PartName="/xl/tables/table92.xml" ContentType="application/vnd.openxmlformats-officedocument.spreadsheetml.table+xml"/>
  <Override PartName="/xl/tables/table93.xml" ContentType="application/vnd.openxmlformats-officedocument.spreadsheetml.table+xml"/>
  <Override PartName="/xl/tables/table94.xml" ContentType="application/vnd.openxmlformats-officedocument.spreadsheetml.table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workbookProtection/>
  <bookViews>
    <workbookView windowWidth="16200" windowHeight="25095" tabRatio="500" firstSheet="7" activeTab="10"/>
  </bookViews>
  <sheets>
    <sheet name="Orientações" sheetId="1" state="hidden" r:id="rId1"/>
    <sheet name="Servente" sheetId="2" state="hidden" r:id="rId2"/>
    <sheet name="Recepcionista Secretário(a)" sheetId="11" r:id="rId3"/>
    <sheet name="Téc. Saúde Bucal" sheetId="16" r:id="rId4"/>
    <sheet name="Copeiro (a)" sheetId="5" r:id="rId5"/>
    <sheet name="Portaria" sheetId="6" r:id="rId6"/>
    <sheet name="Motorista Interestadual" sheetId="8" r:id="rId7"/>
    <sheet name="Diárias" sheetId="15" r:id="rId8"/>
    <sheet name="Uniformes" sheetId="12" r:id="rId9"/>
    <sheet name="Materiais" sheetId="14" r:id="rId10"/>
    <sheet name="RESUMO" sheetId="13" r:id="rId11"/>
  </sheets>
  <definedNames>
    <definedName name="SalarioBase">Servente!$D$5</definedName>
    <definedName name="Salário_Normativo_da_Categoria_Profissional">Servente!$D$5</definedName>
    <definedName name="Total1">Servente!#REF!</definedName>
    <definedName name="Total2.1">Servente!#REF!</definedName>
    <definedName name="Total2.2">Servente!#REF!</definedName>
    <definedName name="Total2.3">Servente!#REF!</definedName>
    <definedName name="_1A">Servente!$D$11</definedName>
    <definedName name="_1B">Servente!$D$12</definedName>
    <definedName name="_1C">Servente!$D$13</definedName>
    <definedName name="_1D">Servente!$D$14</definedName>
    <definedName name="_1E">Servente!$D$15</definedName>
    <definedName name="_1F">Servente!$D$16</definedName>
    <definedName name="_2.1A">Servente!$D$22</definedName>
    <definedName name="_2.1B">Servente!$D$23</definedName>
    <definedName name="_2.3A">Servente!$D$49</definedName>
    <definedName name="_2.3B">Servente!$D$50</definedName>
    <definedName name="_2.3C">Servente!$D$51</definedName>
    <definedName name="_2.3D">Servente!$D$52</definedName>
    <definedName name="_xlcn.WorksheetConnection_PlanilhaLimpeza.xlsxTable3">#REF!</definedName>
    <definedName name="_xlnm.Print_Area" localSheetId="2">'Recepcionista Secretário(a)'!$A$1:$D$148</definedName>
    <definedName name="_xlnm.Print_Area" localSheetId="3">'Téc. Saúde Bucal'!$A$1:$D$148</definedName>
    <definedName name="_xlnm.Print_Area" localSheetId="4">'Copeiro (a)'!$A$1:$D$148</definedName>
    <definedName name="_xlnm.Print_Area" localSheetId="5">Portaria!$A$1:$D$149</definedName>
    <definedName name="_xlnm.Print_Area" localSheetId="6">'Motorista Interestadual'!$A$1:$D$149</definedName>
  </definedNames>
  <calcPr calcId="144525"/>
</workbook>
</file>

<file path=xl/comments1.xml><?xml version="1.0" encoding="utf-8"?>
<comments xmlns="http://schemas.openxmlformats.org/spreadsheetml/2006/main">
  <authors>
    <author xml:space="preserve"> </author>
  </authors>
  <commentList>
    <comment ref="G16" authorId="0">
      <text>
        <r>
          <rPr>
            <sz val="9"/>
            <rFont val="Tahoma"/>
            <charset val="134"/>
          </rPr>
          <t>Daniel Carlos:
Valores que constam no caderno técnico. A unidade deve realizar pesquisa de mercado para o levantamento do percentual médio destas rubricas.</t>
        </r>
      </text>
    </comment>
  </commentList>
</comments>
</file>

<file path=xl/sharedStrings.xml><?xml version="1.0" encoding="utf-8"?>
<sst xmlns="http://schemas.openxmlformats.org/spreadsheetml/2006/main" count="1845" uniqueCount="343">
  <si>
    <t>Orientações para utilização desta Planilha</t>
  </si>
  <si>
    <t>Esta planilha tem como finalidade orientar o planejamento da contratação e fundamentar seu custo estimado , conforme item 2.9, b, do Anexo V da Instrução Normativa SEGES/MPDG nº 05, de 2017.</t>
  </si>
  <si>
    <t>Além dos cálculos e valores constantes na própria IN 05/2017, foi utilizada a metodologia de cálculo constante no caderno técnico de limpeza do Ministério do Planejamento.</t>
  </si>
  <si>
    <r>
      <rPr>
        <sz val="11"/>
        <color rgb="FF000000"/>
        <rFont val="Calibri"/>
        <charset val="134"/>
      </rPr>
      <t xml:space="preserve">Para não haver alteração nas fórmulas constantes nas planilhas, recomenda-se, com exceção da aba "Ambientes", que somente se altere os valores que constam células com fundo </t>
    </r>
    <r>
      <rPr>
        <u/>
        <sz val="11"/>
        <color rgb="FFF4B183"/>
        <rFont val="Calibri"/>
        <charset val="134"/>
      </rPr>
      <t>laranja.</t>
    </r>
  </si>
  <si>
    <t>A lista de materiais, equipamentos, EPIs e Uniformes, bem como seus respectivos valores unitários são meramente exemplificativos. Cabe à equipe de planejamento realizar o levantamento dos materiais e respectivos quantitativos necessários à execução dos serviços, bem como realizar pesquisa de preço de cada insumo, inserindo-os na planilha.</t>
  </si>
  <si>
    <t>Esta planilha calcula automaticamente o quantitativo de área para cada tipo previsto na IN 05/2017, de acordo com os ambientes inseridos na tabela correspondente. Caso a unidade já tenha o quantitativo consolidade, decorrente de estimativas pretéritas, basta inserir os valores diretamente na planilha "Tipos de Área e Produtividade", na coluna "Quantidade" (Obs. Recomenda-se apagar todo o conteúdo da coluna antes de inserir os valores).</t>
  </si>
  <si>
    <t xml:space="preserve">As produtividades que a unidade deseja utilizar deve ser inserida na planilha "Tipos de Área e Produtividade" no campo "Produtividade Personalizada". A planilha calculará automaticamente o quantitativo de serventes previsto, com base na quantidade demandada e na produtividade inserida. </t>
  </si>
  <si>
    <t>A planilha automaticamente arredonda o quantitativo de serventes, realizando os devidos ajustes nas produtividades e as utilizando para os demais cálculos da planilha.</t>
  </si>
  <si>
    <t>Caso a unidade opte pela não utilização do encarregado (recomendado nos casos de quantitativos pequenos de servente), os valores da coluna "Preço Homem Mês - Encarregado" deve ser removido.</t>
  </si>
  <si>
    <t>Foi utilizado os percentuais de lucro e custos indireitos do caderno técnico de limpeza. Recomenda-se que seja realizada pesquisa de mercado para apuração do média de mercado para tais rubricas.</t>
  </si>
  <si>
    <t>Em caso de dúvidas ou sugestões, entrar em contato por meio do e-mail: daniel.souza@ifpb.edu.br ou danieloxyjp@gmail.com</t>
  </si>
  <si>
    <t>Última atualização: 28/02/2019</t>
  </si>
  <si>
    <t xml:space="preserve"> Daniel Carlos Cruz de Souza</t>
  </si>
  <si>
    <t>Coordenação de Planejamento em Aquisições - Reitoria/IFPB</t>
  </si>
  <si>
    <t>Dados para composição dos custos referentes a mão de obra</t>
  </si>
  <si>
    <t>Dados Gerais</t>
  </si>
  <si>
    <t>Item</t>
  </si>
  <si>
    <t>Descrição</t>
  </si>
  <si>
    <t>Comentário</t>
  </si>
  <si>
    <t>Valor</t>
  </si>
  <si>
    <t xml:space="preserve">Tipo de Serviço </t>
  </si>
  <si>
    <t>Limpeza</t>
  </si>
  <si>
    <t>Valor do Vale Transporte</t>
  </si>
  <si>
    <t>Classificação Brasileira de Ocupações (CBO)</t>
  </si>
  <si>
    <t xml:space="preserve">5143-20 </t>
  </si>
  <si>
    <t>Valor do Auxílio Alimentação</t>
  </si>
  <si>
    <t>Salário Normativo da Categoria Profissional</t>
  </si>
  <si>
    <t>Salário Mínimo (Decreto</t>
  </si>
  <si>
    <t>Dias de Trabalho no mês</t>
  </si>
  <si>
    <t>Categoria Profissional</t>
  </si>
  <si>
    <t xml:space="preserve"> CCT PB000405/2018 </t>
  </si>
  <si>
    <t>Servente de Limpeza</t>
  </si>
  <si>
    <t>RAT x SAT</t>
  </si>
  <si>
    <t>Data-Base da Categoria</t>
  </si>
  <si>
    <t>01 de Janeiro</t>
  </si>
  <si>
    <t>Dados sobre Desligamento</t>
  </si>
  <si>
    <t>Módulo 1 - Composição da Remuneração</t>
  </si>
  <si>
    <t>Tipos</t>
  </si>
  <si>
    <t>Percentual</t>
  </si>
  <si>
    <t>1</t>
  </si>
  <si>
    <t>Composição da Remuneração</t>
  </si>
  <si>
    <t>SEM justa causa - AP INDENIZADO</t>
  </si>
  <si>
    <t>A</t>
  </si>
  <si>
    <t>Salário-Base</t>
  </si>
  <si>
    <t>SEM justa causa - AP TRABALHADO</t>
  </si>
  <si>
    <t>B</t>
  </si>
  <si>
    <t>Adicional de Periculosidade</t>
  </si>
  <si>
    <t>Demissões COM justa causa</t>
  </si>
  <si>
    <t>C</t>
  </si>
  <si>
    <t>Adicional de Insalubridade</t>
  </si>
  <si>
    <t>D</t>
  </si>
  <si>
    <t>Adicional Noturno</t>
  </si>
  <si>
    <t>CITL</t>
  </si>
  <si>
    <t>E</t>
  </si>
  <si>
    <t>Adicional de Hora Noturna Reduzida</t>
  </si>
  <si>
    <t>F</t>
  </si>
  <si>
    <t>Outros (especificar)</t>
  </si>
  <si>
    <t>Custos indiretos</t>
  </si>
  <si>
    <t>Total</t>
  </si>
  <si>
    <t>Lucro</t>
  </si>
  <si>
    <t>PIS</t>
  </si>
  <si>
    <t>Módulo 2 - Encargos e Benefícios Anuais, Mensais e Diários</t>
  </si>
  <si>
    <t>COFINS</t>
  </si>
  <si>
    <t> Submódulo 2.1 - 13º (décimo terceiro) Salário, Férias e Adicional de Férias</t>
  </si>
  <si>
    <t>ISS</t>
  </si>
  <si>
    <t>2.1</t>
  </si>
  <si>
    <t>13º (décimo terceiro) Salário, Férias e Adicional de Férias</t>
  </si>
  <si>
    <t>13º (décimo terceiro) Salário</t>
  </si>
  <si>
    <t>Férias e Adicional de Férias</t>
  </si>
  <si>
    <t>Memória de Cálculo - Submódulo 2.1</t>
  </si>
  <si>
    <t>Rubrica</t>
  </si>
  <si>
    <t>Base de Cálculo</t>
  </si>
  <si>
    <t>Memória de Cálculo</t>
  </si>
  <si>
    <t>13 º (décimo terceiro) Salário</t>
  </si>
  <si>
    <t>Módulo 1 (Total)</t>
  </si>
  <si>
    <t>8,33%  x Base de Cálculo, Sendo 8,33% = 1 ÷ 12</t>
  </si>
  <si>
    <t>Base de Cálculo x [(1 ÷ 12) x ( 1 + (1 ÷ 3))]</t>
  </si>
  <si>
    <t>Submódulo 2.2 - Encargos Previdenciários (GPS), Fundo de Garantia por Tempo de Serviço (FGTS) e outras contribuições.</t>
  </si>
  <si>
    <t>2.2</t>
  </si>
  <si>
    <t>GPS, FGTS e outras contribuições</t>
  </si>
  <si>
    <t xml:space="preserve">Valor </t>
  </si>
  <si>
    <t>INSS</t>
  </si>
  <si>
    <t>Salário Educação</t>
  </si>
  <si>
    <t>SAT</t>
  </si>
  <si>
    <t>SESC ou SESI</t>
  </si>
  <si>
    <t>SENAI - SENAC</t>
  </si>
  <si>
    <t>SEBRAE</t>
  </si>
  <si>
    <t>G</t>
  </si>
  <si>
    <t>INCRA</t>
  </si>
  <si>
    <t>H</t>
  </si>
  <si>
    <t>FGTS</t>
  </si>
  <si>
    <t>Memória de Cálculo - Submódulo 2.2</t>
  </si>
  <si>
    <t>A a H</t>
  </si>
  <si>
    <t>Módulo 1 (Total) + Submódulo 2.1</t>
  </si>
  <si>
    <t>Alíquota x Base de Cálculo</t>
  </si>
  <si>
    <t>Submódulo 2.3 - Benefícios Mensais e Diários.</t>
  </si>
  <si>
    <t>2.3</t>
  </si>
  <si>
    <t>Benefícios Mensais e Diários</t>
  </si>
  <si>
    <t>Transporte</t>
  </si>
  <si>
    <t>Auxílio-Refeição/Alimentação</t>
  </si>
  <si>
    <t>Assistência Médica e Familiar</t>
  </si>
  <si>
    <t>Memória de Cálculo - Submódulo 2.3</t>
  </si>
  <si>
    <t>-</t>
  </si>
  <si>
    <t>(Valor do Vale x 2 Vales/dia x Dias de Trabalho) - 6% x Salário Base</t>
  </si>
  <si>
    <t>(Valor do Vale Alim. x Qtde. Dias de Trab)  x 80%</t>
  </si>
  <si>
    <t>Quadro-Resumo do Módulo 2 - Encargos e Benefícios anuais, mensais e diários</t>
  </si>
  <si>
    <t>2</t>
  </si>
  <si>
    <t>Encargos e Benefícios Anuais, Mensais e Diários</t>
  </si>
  <si>
    <t>Módulo 3 - Provisão para Rescisão</t>
  </si>
  <si>
    <t>3</t>
  </si>
  <si>
    <t>Provisão para Rescisão</t>
  </si>
  <si>
    <t>Aviso Prévio Indenizado</t>
  </si>
  <si>
    <t>Incidência do FGTS sobre o Aviso Prévio Indenizado</t>
  </si>
  <si>
    <t>Multa do FGTS e contribuição social sobre o Aviso Prévio Indenizado</t>
  </si>
  <si>
    <t>Aviso Prévio Trabalhado</t>
  </si>
  <si>
    <t>Multa do FGTS e contribuição social sobre o Aviso Prévio Trabalhado</t>
  </si>
  <si>
    <t>(-)Demissão por justa causa</t>
  </si>
  <si>
    <t>Memória de Cálculo - Módulo 3</t>
  </si>
  <si>
    <t>Módulo 1 (Total) + Submódulo 2.1 + Submódulo 2.3</t>
  </si>
  <si>
    <t>(Base de Cálculo / 12) x Percentual de AP Indenizado (Tabela "Dados sobre desligamento")</t>
  </si>
  <si>
    <t>Item H do submódulo 2.2 (FGTS)</t>
  </si>
  <si>
    <t>Base de Cálculo x 50 % (40% de multa + 10% contribuição social) x Percentual de AP Indenizado (Tabela "Dados sobre desligamento")</t>
  </si>
  <si>
    <t>Módulo 1 (Total) + Módulo 2 (Total)</t>
  </si>
  <si>
    <t>(Base de Cálculo / 12) x Percentual de AP Trabalhado (Tabela "Dados sobre desligamento")</t>
  </si>
  <si>
    <t>Base de Cálculo x 50 % (40% de multa + 10% contribuição social) x Percentual de AP Trabalhado (Tabela "Dados sobre desligamento")</t>
  </si>
  <si>
    <t>Submódulo 2.1</t>
  </si>
  <si>
    <t>Base de Cálculo x Percentual de Demissões COM justa Causa (Tabela "Dados sobre desligamento")</t>
  </si>
  <si>
    <t xml:space="preserve">Módulo 4 - Custo de Reposição do Profissional Ausente
</t>
  </si>
  <si>
    <t>Submódulo 4.1 - Substituto nas Ausências Legais</t>
  </si>
  <si>
    <t>4.1</t>
  </si>
  <si>
    <t>Substituto nas Ausências Legais</t>
  </si>
  <si>
    <t>Dias de ausência</t>
  </si>
  <si>
    <t>Substituto na cobertura de Férias</t>
  </si>
  <si>
    <t>Substituto na cobertura de Ausências Legais</t>
  </si>
  <si>
    <t>Substituto na cobertura de Licença-Paternidade</t>
  </si>
  <si>
    <t>Substituto na cobertura de Ausência por acidente de trabalho</t>
  </si>
  <si>
    <t>Substituto na cobertura de Afastamento Maternidade</t>
  </si>
  <si>
    <t>Substituto na cobertura de Ausência por Doença</t>
  </si>
  <si>
    <t>Memória de Cálculo - Módulo 4</t>
  </si>
  <si>
    <t>A a F</t>
  </si>
  <si>
    <t>Dias de Ausência conforme caderno técnico de limpeza/PB 2018, p. 20.</t>
  </si>
  <si>
    <t>Valor das rubricas de A a F</t>
  </si>
  <si>
    <t xml:space="preserve">Custo diário para o repositor = (Módulo 1 + Módulo 2 + Módulo 3) / 30 </t>
  </si>
  <si>
    <t>Base de cálculo x Dias de Ausência</t>
  </si>
  <si>
    <t>Submódulo 4.2 - Substituto na Intrajornada</t>
  </si>
  <si>
    <t>4.2</t>
  </si>
  <si>
    <t>Substituto na Intrajornada </t>
  </si>
  <si>
    <t>Substituto na cobertura de Intervalo para repouso ou alimentação</t>
  </si>
  <si>
    <t>Quadro-Resumo do Módulo 4 - Custo de Reposição do Profissional Ausente</t>
  </si>
  <si>
    <t>4</t>
  </si>
  <si>
    <t>Custo de Reposição do Profissional Ausente</t>
  </si>
  <si>
    <t>Substituto na Intrajornada</t>
  </si>
  <si>
    <t>Módulo 5 - Insumos Diversos</t>
  </si>
  <si>
    <t>5</t>
  </si>
  <si>
    <t>Insumos Diversos</t>
  </si>
  <si>
    <t>Uniformes</t>
  </si>
  <si>
    <t>Materiais</t>
  </si>
  <si>
    <t>Equipamentos</t>
  </si>
  <si>
    <t>EPI</t>
  </si>
  <si>
    <t>Memória de Cálculo - Módulo 5</t>
  </si>
  <si>
    <t>Tabela Uniformes Serventes</t>
  </si>
  <si>
    <t>Total da Tabela Materiais</t>
  </si>
  <si>
    <t>Base de Cálculo / Qtde. de Serventes</t>
  </si>
  <si>
    <t>Custo total dos equipamentos (Manutenção + Depreciação)</t>
  </si>
  <si>
    <t>Módulo 6 - Custos Indiretos, Tributos e Lucro</t>
  </si>
  <si>
    <t>6</t>
  </si>
  <si>
    <t>Custos Indiretos, Tributos e Lucro</t>
  </si>
  <si>
    <t>Custos Indiretos</t>
  </si>
  <si>
    <t>Tributos</t>
  </si>
  <si>
    <t>C.1</t>
  </si>
  <si>
    <t>C.2</t>
  </si>
  <si>
    <t>C.3</t>
  </si>
  <si>
    <t>QUADRO-RESUMO DO CUSTO POR EMPREGADO</t>
  </si>
  <si>
    <t>Mão de obra vinculada à execução contratual</t>
  </si>
  <si>
    <t>Módulo 4 - Custo de Reposição do Profissional Ausente</t>
  </si>
  <si>
    <t>Subtotal (A + B +C+ D+E)</t>
  </si>
  <si>
    <t>Valor Total por Empregado</t>
  </si>
  <si>
    <t>PLANILHA DE CUSTOS E FORMAÇÃO DE PREÇOS</t>
  </si>
  <si>
    <r>
      <rPr>
        <b/>
        <sz val="11"/>
        <color rgb="FF000000"/>
        <rFont val="Calibri"/>
        <charset val="134"/>
      </rPr>
      <t xml:space="preserve">Processo Administrativo n.° </t>
    </r>
    <r>
      <rPr>
        <sz val="11"/>
        <color rgb="FF000000"/>
        <rFont val="Calibri"/>
        <charset val="134"/>
      </rPr>
      <t>23381.003917.2022-48</t>
    </r>
  </si>
  <si>
    <t>Licitação n°</t>
  </si>
  <si>
    <t>010/2022</t>
  </si>
  <si>
    <t>Discriminação dos Serviços (Dados Referente à Contratação)</t>
  </si>
  <si>
    <t>Data -  Apresentação da Proposta</t>
  </si>
  <si>
    <t>....../......./20.......</t>
  </si>
  <si>
    <t>Município - ISSQN</t>
  </si>
  <si>
    <t>ISSQN 5 % (cinco por cento)</t>
  </si>
  <si>
    <t>Ano Acordo, Convenção ou Dissídio Coletivo</t>
  </si>
  <si>
    <t>CCT PB000517/2021</t>
  </si>
  <si>
    <t>Número de Meses de Execução Contratual</t>
  </si>
  <si>
    <t>12 (doze) meses</t>
  </si>
  <si>
    <t>Identificação do Serviço</t>
  </si>
  <si>
    <t>Tipo de Serviço</t>
  </si>
  <si>
    <t>Unidade de Medida</t>
  </si>
  <si>
    <t>Quantidade Total a Contratar</t>
  </si>
  <si>
    <t>Recepcionista Secretário(a)</t>
  </si>
  <si>
    <t>44 horas</t>
  </si>
  <si>
    <t>MTE</t>
  </si>
  <si>
    <t>4110-10</t>
  </si>
  <si>
    <t>SEAC-PB</t>
  </si>
  <si>
    <t>01/JANEIRO</t>
  </si>
  <si>
    <t>GRUPO IV</t>
  </si>
  <si>
    <t>BASE DE CÁLCULO PARA O SUBMÓDULO 2.2</t>
  </si>
  <si>
    <t>MÓDULO 1</t>
  </si>
  <si>
    <t>MÓDULO 2.1</t>
  </si>
  <si>
    <t>TOTAL</t>
  </si>
  <si>
    <t>SAT (+FAP de 0,5 a 2,0) (Variação: 0,5% a 6 %)</t>
  </si>
  <si>
    <r>
      <rPr>
        <sz val="11"/>
        <color rgb="FF000000"/>
        <rFont val="Calibri"/>
        <charset val="134"/>
      </rPr>
      <t>Intervalo Intrajornada (</t>
    </r>
    <r>
      <rPr>
        <sz val="10"/>
        <color rgb="FF000000"/>
        <rFont val="Calibri"/>
        <charset val="134"/>
      </rPr>
      <t>não usufruído pelo empregado</t>
    </r>
    <r>
      <rPr>
        <sz val="11"/>
        <color rgb="FF000000"/>
        <rFont val="Calibri"/>
        <charset val="134"/>
      </rPr>
      <t>)</t>
    </r>
  </si>
  <si>
    <t>Benefício Odontológico</t>
  </si>
  <si>
    <t>Auxílio Morte/Funeral</t>
  </si>
  <si>
    <t>Plano de Assistência Familiar e Social</t>
  </si>
  <si>
    <t>Incidência de GPS, FGTS e outras contribuições sobre o Aviso Prévio Trabalhado</t>
  </si>
  <si>
    <t>BASE DE CÁLCULO PARA O MÓDULO 4</t>
  </si>
  <si>
    <t>MÓDULO 2</t>
  </si>
  <si>
    <t>MÓDULO 3</t>
  </si>
  <si>
    <t>Substituto na cobertura de 13º (décimo terceiro) Salário, Férias e Adicional de Férias</t>
  </si>
  <si>
    <t>Substituto na cobertura de Outras ausências (especificar)</t>
  </si>
  <si>
    <t>*Nota: APLICÁVEL, APENAS, PARA quando o TITULAR do posto USUFRUIR do descanso intrajornada e o posto de trabalho NÃO PUDER FICAR DESCOBERTO</t>
  </si>
  <si>
    <t>*=TRUNCAR(($D$86/220)*(1*(365/12))/2)</t>
  </si>
  <si>
    <t>*Nota: Se o titular USUFRUIR do descanso intrajornada, o total é o somatório dos subitens 4.1 e 4.2</t>
  </si>
  <si>
    <t>Uniformes e Equipamento de Proteção Individual - EPI</t>
  </si>
  <si>
    <t>Equipamentos de Proteção Coletiva - EPC</t>
  </si>
  <si>
    <t>Diárias</t>
  </si>
  <si>
    <t>BASE DE CÁLCULO PARA O MÓDULO 6</t>
  </si>
  <si>
    <t>MÓDULO 4</t>
  </si>
  <si>
    <t>MÓDULO 5</t>
  </si>
  <si>
    <t>CÁLCULO POR DENTRO</t>
  </si>
  <si>
    <t>TOTAL DOS TRIBUTOS</t>
  </si>
  <si>
    <t>BASE DE CÁLCULO</t>
  </si>
  <si>
    <t>ÍNDICE</t>
  </si>
  <si>
    <t>C.1 - PIS</t>
  </si>
  <si>
    <t>C.2 - COFINS</t>
  </si>
  <si>
    <t>C.3 - ISS</t>
  </si>
  <si>
    <t>Subtotal (A + B + C + D + E)</t>
  </si>
  <si>
    <t>VALOR TOTAL POR EMPREGADO</t>
  </si>
  <si>
    <t>Técnico em Saúde Bucal</t>
  </si>
  <si>
    <t>3224-05</t>
  </si>
  <si>
    <t>GRUPO XII</t>
  </si>
  <si>
    <t>Adicional de Insalubridade*</t>
  </si>
  <si>
    <t>Outros (Função Gratificada)</t>
  </si>
  <si>
    <t>*Atentar às disposições estabelecidas no subitem 10.1.5 do Termo de Referência</t>
  </si>
  <si>
    <t>Copeiro(a)</t>
  </si>
  <si>
    <t>5134-25</t>
  </si>
  <si>
    <t>GRUPO I</t>
  </si>
  <si>
    <t>Agente de Portaria</t>
  </si>
  <si>
    <t>Posto 12 x 36 horas</t>
  </si>
  <si>
    <t>5174-15</t>
  </si>
  <si>
    <t>GRUPO III</t>
  </si>
  <si>
    <t>VALOR TOTAL DO POSTO</t>
  </si>
  <si>
    <t>CCT PB000035/2019*</t>
  </si>
  <si>
    <t>Motorista Interestadual</t>
  </si>
  <si>
    <t>7823-05</t>
  </si>
  <si>
    <t>SMTTRPC-PB</t>
  </si>
  <si>
    <t>* A presente CCT PB000035/2019 não encontra-se vigente, mas corresponde à CCT a qual o atual contrato, junto à Administração, encontra-se vinculado.</t>
  </si>
  <si>
    <t>DIÁRIAS</t>
  </si>
  <si>
    <t>QUANTIDADE ESTIMADA ANUAL DE DIÁRIAS</t>
  </si>
  <si>
    <t>VALOR UNITÁRIO</t>
  </si>
  <si>
    <t>VALOR TOTAL ESTIMADO</t>
  </si>
  <si>
    <t>(A)</t>
  </si>
  <si>
    <t>(B)</t>
  </si>
  <si>
    <t>(C)=(A) X (B)</t>
  </si>
  <si>
    <t>TRIBUTAÇÃO INCIDENTE</t>
  </si>
  <si>
    <t>FATURAMENTO</t>
  </si>
  <si>
    <t>VALOR UNITÁRIO DA DIÁRIA</t>
  </si>
  <si>
    <t>COEFICIENTE</t>
  </si>
  <si>
    <t>CUSTOS INDIRETOS E LUCRO</t>
  </si>
  <si>
    <t>PERCENTUAL</t>
  </si>
  <si>
    <t>VALOR</t>
  </si>
  <si>
    <t>CUSTOS INDIRETOS</t>
  </si>
  <si>
    <t>LUCRO</t>
  </si>
  <si>
    <t>SUBTOTAL</t>
  </si>
  <si>
    <t>TRIBUTOS SOBRE O FATURAMENTO*</t>
  </si>
  <si>
    <t>VALOR**</t>
  </si>
  <si>
    <t>*FATURAMENTO: Considera-se faturamento para o cálculo dos tributos: o valor da diária + (custos indiretos e lucro). Ex.: Os tributos foram
calculados por dentro utilizando o coeficiente (1 - 8,65% = 91,35% ou 0,9135).</t>
  </si>
  <si>
    <t>**((Vr. faturamento) / (0,9135)) x Percentual da alíquota do tributo.</t>
  </si>
  <si>
    <t>UNIFORMES</t>
  </si>
  <si>
    <t>MOTORISTA INTERESTADUAL</t>
  </si>
  <si>
    <t>ITEM</t>
  </si>
  <si>
    <t>PEÇA</t>
  </si>
  <si>
    <t>DESCRIÇÃO</t>
  </si>
  <si>
    <t>UNIDADE</t>
  </si>
  <si>
    <t>VALOR MÉDIO UNITÁRIO (R$)</t>
  </si>
  <si>
    <t>QUANTIDADE ANUAL</t>
  </si>
  <si>
    <t>VALOR ANUAL POR EMPREGADO (R$)</t>
  </si>
  <si>
    <t>VALOR MENSAL POR EMPREGADO (R$)</t>
  </si>
  <si>
    <t>CALÇA</t>
  </si>
  <si>
    <t>Calça social, na cor preta, em tecido de poliviscose; Corte: Masculino.</t>
  </si>
  <si>
    <t>Unidade</t>
  </si>
  <si>
    <t>CAMISA</t>
  </si>
  <si>
    <t>Camisa social, na cor branca, de mangas  longas, com detalhes na gola e punho, na cor predominante da logomarca da Contrada, Corte: Masculino; Tecido com o mínimo de 50% de fibras naturais, contendo a identificação da Contratada.</t>
  </si>
  <si>
    <t>Camisa tipo Polo em Tecido Piquet; Corte: Masculino, Composição: 50% algodão e 50% poliéster, com gramatura mínima de 190 g/m², cor branca, com peitilho funcional de fechamento por dois botões. Gola e punhos em ribana - Composição: Elastano: 5%, Poliester: 95%, gramatura mínima de 210 g/m². Mangas com friso na cor predominante da logo da Contratada. Aplicação da marca frontal – logo da Contratada.</t>
  </si>
  <si>
    <t>JAPONA / JAQUETA</t>
  </si>
  <si>
    <t>Japona / Jaqueta,em tecido Oxford, na cor preta ou usual da empresa,  forrada e impermeável; deve possuir a logomarca da empresa em tamanho e local visíveis (no peito, à esquerda).</t>
  </si>
  <si>
    <t>MANGUITO PROTEÇÃO UV</t>
  </si>
  <si>
    <t>Manguito Proteção UV 50: Dimensões Aproximadas: P: 9x27,7 cm (L x C), G: 9,5x41 cm (L x P), Composição: 94% Poliamida e 6% Elastano; Proteção UV, Antimicrobial, Seamless Dry, Proteção Solar: Com FPS; na cor preta.</t>
  </si>
  <si>
    <t>Par</t>
  </si>
  <si>
    <t>CALÇADO</t>
  </si>
  <si>
    <t>Sapato em couro, na cor preta, solado antiderrapante.</t>
  </si>
  <si>
    <t>CINTO</t>
  </si>
  <si>
    <t>Cinto em couro, na cor preta.</t>
  </si>
  <si>
    <t>MEIA</t>
  </si>
  <si>
    <t>Meia, modelo cano alto , composição: 88% Algodão, 2% Lycra e 10% Poliamida, na cor preta.</t>
  </si>
  <si>
    <t>CRACHÁ</t>
  </si>
  <si>
    <t xml:space="preserve"> Crachá de identiﬁcação, em plástico rígido, contendo logomarca da empresa, foto e nome completo do funcionário.</t>
  </si>
  <si>
    <t>AUXILIAR ADMINISTRATIVO</t>
  </si>
  <si>
    <t>Calça social, na cor preta, em tecido de poliviscose; Corte: Feminino.</t>
  </si>
  <si>
    <t>SAIA</t>
  </si>
  <si>
    <t>Saia Social, na cor preta, em tecido de poliviscose.</t>
  </si>
  <si>
    <t>BLAZER</t>
  </si>
  <si>
    <t>Colete Blazer social sem mangas, abotoamento frontal contendo a identificação da Contratada.</t>
  </si>
  <si>
    <t>Camisa social, na cor branca, de mangas  3/4, com detalhes na gola e punho, na cor predominante da logomarca da Contrada, Corte: Feminino; Tecido com o mínimo de 50% de fibras naturais, contendo a identificação da Contratada.</t>
  </si>
  <si>
    <t>Camisa tipo Polo em Tecido Piquet; Corte: Feminino, Composição: 50% algodão e 50% poliéster, com gramatura mínima de 190 g/m², cor branca, com peitilho funcional de fechamento por dois botões. Gola e punhos em ribana - Composição: Elastano: 5%, Poliester: 95%, gramatura mínima de 210 g/m². Mangas com friso na cor predominante da logo da Contratada. Aplicação da marca frontal – logo da Contratada.</t>
  </si>
  <si>
    <t>Meia, modelo sapatilha (invisível), com corte baixo de silicone nas costas (calcanhar), Composição:  90% microfibra poliamida 10% elastano, Feminino, Cor: Preta, Tamanho: Único</t>
  </si>
  <si>
    <t>COPEIRO (A)</t>
  </si>
  <si>
    <t>PORTEIRO</t>
  </si>
  <si>
    <t>CAPA PARA CHUVA</t>
  </si>
  <si>
    <t>Capa para chuva, em material plástico, cor preta com faixas fluorescentes.</t>
  </si>
  <si>
    <t>TÉCNICO EM SAÚDE BUCAL</t>
  </si>
  <si>
    <t>JALECO MANGA LONGA</t>
  </si>
  <si>
    <t>Jaleco Manga Longa, Composição 100% algodão, Brim Médio com 2×1, gramatura mínima de 220 g/m², 6,5 ox, na cor branca. Gola tipo italiana, abertura frontal total com fechamento em botões, mangas longas, 1 (um) bolso chapado com cantos chanfrados localizados na frente superior esquerda e 2 (dois) bolsos chapados com cantos chanfrados localizados na parte inferior de quem veste, punhos com elásticos, e costas em tecido único com faixa na cintura e abertura centralizada diagonal na bainha inferior. Aplicação da marca frontal – logo da Contratada.</t>
  </si>
  <si>
    <t>Peça</t>
  </si>
  <si>
    <t>Valor Médio Unitário (R$)</t>
  </si>
  <si>
    <t>Quantidade Anual</t>
  </si>
  <si>
    <t>Valor Anual/ Empregado (R$)</t>
  </si>
  <si>
    <t>Valor Mensal/ Empregado</t>
  </si>
  <si>
    <t>Livro de ocorrências</t>
  </si>
  <si>
    <t>Livro Termo de Ocorrência, capa dura, medindo aproximadamente 22x33 cm, com 50 folhas.</t>
  </si>
  <si>
    <t>Caneta esferográfica</t>
  </si>
  <si>
    <t>Caneta esferográfica, material plástico, ponteira esfera de tugstênio, tipo escrita média, cor tinta AZUL, características adicionais: atóxica, corpo cilindrico</t>
  </si>
  <si>
    <t>Prancheta</t>
  </si>
  <si>
    <t>PRANCHETA em acrílico, com prendedor metálico, formato oficio 2, dimensões 216 x 330 mm</t>
  </si>
  <si>
    <t>PLANILHA RESUMO</t>
  </si>
  <si>
    <t>Quantidade</t>
  </si>
  <si>
    <t>VIGÊNCIA (Mês)</t>
  </si>
  <si>
    <t>VALOR UNITÁRIO MÁXIMO ACEITÁVEL</t>
  </si>
  <si>
    <t>VALOR TOTAL MÁXIMO ACEITÁVEL</t>
  </si>
  <si>
    <r>
      <t xml:space="preserve">PRESTAÇÃO DE SERVIÇOS DE APOIO ADMINISTRATIVO - Posto de serviços: </t>
    </r>
    <r>
      <rPr>
        <b/>
        <sz val="11"/>
        <color theme="1"/>
        <rFont val="Calibri"/>
        <charset val="134"/>
        <scheme val="minor"/>
      </rPr>
      <t>RECEPCIONISTA SECRETÁRIO(A) - CBO: 4221-05,</t>
    </r>
    <r>
      <rPr>
        <sz val="11"/>
        <color theme="1"/>
        <rFont val="Calibri"/>
        <charset val="134"/>
        <scheme val="minor"/>
      </rPr>
      <t xml:space="preserve"> em jornada semanal de 44 (quarenta e quatro) horas.</t>
    </r>
  </si>
  <si>
    <t>POSTO</t>
  </si>
  <si>
    <r>
      <rPr>
        <sz val="11"/>
        <color theme="1"/>
        <rFont val="Calibri"/>
        <charset val="134"/>
        <scheme val="minor"/>
      </rPr>
      <t xml:space="preserve">PRESTAÇÃO DE SERVIÇOS DE APOIO ADMINISTRATIVO - Posto de serviços: </t>
    </r>
    <r>
      <rPr>
        <b/>
        <sz val="11"/>
        <color theme="1"/>
        <rFont val="Calibri"/>
        <charset val="134"/>
        <scheme val="minor"/>
      </rPr>
      <t>TÉCNICO EM SAÚDE BUCAL - CBO: 3224-05</t>
    </r>
    <r>
      <rPr>
        <sz val="11"/>
        <color theme="1"/>
        <rFont val="Calibri"/>
        <charset val="134"/>
        <scheme val="minor"/>
      </rPr>
      <t>, em jornada semanal de 44 (quarenta e quatro) horas.</t>
    </r>
  </si>
  <si>
    <r>
      <rPr>
        <sz val="11"/>
        <color theme="1"/>
        <rFont val="Calibri"/>
        <charset val="134"/>
        <scheme val="minor"/>
      </rPr>
      <t>PRESTAÇÃO DE SERVIÇOS DE APOIO ADMINISTRATIVO - Posto de serviços:</t>
    </r>
    <r>
      <rPr>
        <b/>
        <sz val="11"/>
        <color theme="1"/>
        <rFont val="Calibri"/>
        <charset val="134"/>
        <scheme val="minor"/>
      </rPr>
      <t xml:space="preserve"> COPEIRO (A) - CBO: 5134-25</t>
    </r>
    <r>
      <rPr>
        <sz val="11"/>
        <color theme="1"/>
        <rFont val="Calibri"/>
        <charset val="134"/>
        <scheme val="minor"/>
      </rPr>
      <t>, em jornada semanal de 44 (quarenta e quatro) horas.</t>
    </r>
  </si>
  <si>
    <r>
      <rPr>
        <sz val="11"/>
        <color theme="1"/>
        <rFont val="Calibri"/>
        <charset val="134"/>
        <scheme val="minor"/>
      </rPr>
      <t xml:space="preserve">PRESTAÇÃO DE SERVIÇOS DE APOIO ADMINISTRATIVO - Posto de serviços: </t>
    </r>
    <r>
      <rPr>
        <b/>
        <sz val="11"/>
        <color theme="1"/>
        <rFont val="Calibri"/>
        <charset val="134"/>
        <scheme val="minor"/>
      </rPr>
      <t>PORTARIA - CBO: 5174-15</t>
    </r>
    <r>
      <rPr>
        <sz val="11"/>
        <color theme="1"/>
        <rFont val="Calibri"/>
        <charset val="134"/>
        <scheme val="minor"/>
      </rPr>
      <t>, em jornada de 12 (doze) horas diurnas, de segunda-feira a domingo, envolvendo 2 (dois) agentes de portarias, em turnos de 12 (doze) x 36 (trinta e seis) horas.</t>
    </r>
  </si>
  <si>
    <r>
      <rPr>
        <sz val="11"/>
        <color theme="1"/>
        <rFont val="Calibri"/>
        <charset val="134"/>
        <scheme val="minor"/>
      </rPr>
      <t xml:space="preserve">PRESTAÇÃO DE SERVIÇOS DE APOIO ADMINISTRATIVO - Posto de serviços: </t>
    </r>
    <r>
      <rPr>
        <b/>
        <sz val="11"/>
        <color theme="1"/>
        <rFont val="Calibri"/>
        <charset val="134"/>
        <scheme val="minor"/>
      </rPr>
      <t>MOTORISTA INTERISTADUAL - CBO: 7823 – 05</t>
    </r>
    <r>
      <rPr>
        <sz val="11"/>
        <color theme="1"/>
        <rFont val="Calibri"/>
        <charset val="134"/>
        <scheme val="minor"/>
      </rPr>
      <t>, em jornada semanal de 44 (quarenta e quatro) horas.</t>
    </r>
  </si>
  <si>
    <t>PAGAMENTO DE DIÁRIAS NACONAIS</t>
  </si>
  <si>
    <t>Diária</t>
  </si>
</sst>
</file>

<file path=xl/styles.xml><?xml version="1.0" encoding="utf-8"?>
<styleSheet xmlns="http://schemas.openxmlformats.org/spreadsheetml/2006/main">
  <numFmts count="13">
    <numFmt numFmtId="176" formatCode="_-* #,##0.00_-;\-* #,##0.00_-;_-* &quot;-&quot;??_-;_-@_-"/>
    <numFmt numFmtId="177" formatCode="_-&quot;R$&quot;* #,##0_-;\-&quot;R$&quot;* #,##0_-;_-&quot;R$&quot;* &quot;-&quot;_-;_-@_-"/>
    <numFmt numFmtId="178" formatCode="_-* #,##0_-;\-* #,##0_-;_-* &quot;-&quot;_-;_-@_-"/>
    <numFmt numFmtId="179" formatCode="_-&quot;R$ &quot;* #,##0.00_-;&quot;-R$ &quot;* #,##0.00_-;_-&quot;R$ &quot;* \-??_-;_-@_-"/>
    <numFmt numFmtId="180" formatCode="&quot;R$ &quot;#,##0.00"/>
    <numFmt numFmtId="181" formatCode="&quot;R$&quot;\ #,##0.00_);[Red]\(&quot;R$&quot;\ #,##0.00\)"/>
    <numFmt numFmtId="182" formatCode="&quot;R$&quot;\ #,##0.00"/>
    <numFmt numFmtId="183" formatCode="&quot;R$&quot;#,##0.00_);[Red]\(&quot;R$&quot;#,##0.00\)"/>
    <numFmt numFmtId="184" formatCode="_-&quot;R$&quot;* #,##0.00_-;\-&quot;R$&quot;* #,##0.00_-;_-&quot;R$&quot;* &quot;-&quot;??_-;_-@_-"/>
    <numFmt numFmtId="185" formatCode="0.00_ "/>
    <numFmt numFmtId="186" formatCode="&quot;R$&quot;#,##0.00_);[Red]&quot;(R$&quot;#,##0.00\)"/>
    <numFmt numFmtId="187" formatCode="0.0000_ "/>
    <numFmt numFmtId="188" formatCode="&quot;R$&quot;#,##0.00"/>
  </numFmts>
  <fonts count="49">
    <font>
      <sz val="11"/>
      <color rgb="FF000000"/>
      <name val="Calibri"/>
      <charset val="134"/>
    </font>
    <font>
      <b/>
      <sz val="11"/>
      <color theme="1"/>
      <name val="Calibri"/>
      <charset val="134"/>
      <scheme val="minor"/>
    </font>
    <font>
      <sz val="11"/>
      <color theme="1"/>
      <name val="Calibri"/>
      <charset val="134"/>
      <scheme val="minor"/>
    </font>
    <font>
      <sz val="11"/>
      <name val="Calibri"/>
      <charset val="134"/>
      <scheme val="minor"/>
    </font>
    <font>
      <sz val="12"/>
      <name val="Calibri"/>
      <charset val="134"/>
      <scheme val="minor"/>
    </font>
    <font>
      <b/>
      <sz val="11"/>
      <color theme="0"/>
      <name val="Calibri"/>
      <charset val="134"/>
    </font>
    <font>
      <b/>
      <sz val="11"/>
      <name val="Calibri"/>
      <charset val="134"/>
    </font>
    <font>
      <b/>
      <sz val="11"/>
      <color rgb="FF000000"/>
      <name val="Calibri"/>
      <charset val="134"/>
    </font>
    <font>
      <sz val="11"/>
      <name val="Calibri"/>
      <charset val="134"/>
    </font>
    <font>
      <i/>
      <sz val="11"/>
      <name val="Calibri"/>
      <charset val="134"/>
    </font>
    <font>
      <i/>
      <sz val="11"/>
      <name val="Carlito"/>
      <charset val="134"/>
    </font>
    <font>
      <b/>
      <i/>
      <sz val="11"/>
      <color rgb="FF000000"/>
      <name val="Calibri"/>
      <charset val="134"/>
    </font>
    <font>
      <sz val="11"/>
      <color rgb="FFFF0000"/>
      <name val="Calibri"/>
      <charset val="134"/>
    </font>
    <font>
      <b/>
      <sz val="12"/>
      <name val="Calibri"/>
      <charset val="134"/>
      <scheme val="minor"/>
    </font>
    <font>
      <sz val="11"/>
      <color indexed="8"/>
      <name val="Calibri"/>
      <charset val="134"/>
    </font>
    <font>
      <b/>
      <sz val="12"/>
      <color theme="0"/>
      <name val="Calibri"/>
      <charset val="134"/>
    </font>
    <font>
      <sz val="12"/>
      <name val="Calibri"/>
      <charset val="134"/>
    </font>
    <font>
      <sz val="12"/>
      <color indexed="8"/>
      <name val="Calibri"/>
      <charset val="134"/>
    </font>
    <font>
      <b/>
      <sz val="14"/>
      <color rgb="FFFFFFFF"/>
      <name val="Calibri"/>
      <charset val="134"/>
    </font>
    <font>
      <b/>
      <sz val="11"/>
      <color rgb="FFFFFFFF"/>
      <name val="Calibri"/>
      <charset val="134"/>
    </font>
    <font>
      <sz val="11"/>
      <color theme="0"/>
      <name val="Calibri"/>
      <charset val="134"/>
    </font>
    <font>
      <sz val="11"/>
      <color rgb="FFF4B183"/>
      <name val="Calibri"/>
      <charset val="134"/>
    </font>
    <font>
      <sz val="11"/>
      <color rgb="FFFFFFFF"/>
      <name val="Calibri"/>
      <charset val="134"/>
    </font>
    <font>
      <sz val="9"/>
      <color rgb="FF000000"/>
      <name val="Calibri"/>
      <charset val="134"/>
    </font>
    <font>
      <i/>
      <sz val="11"/>
      <color rgb="FF000000"/>
      <name val="Calibri"/>
      <charset val="134"/>
    </font>
    <font>
      <sz val="11"/>
      <color theme="1"/>
      <name val="Calibri"/>
      <charset val="0"/>
      <scheme val="minor"/>
    </font>
    <font>
      <sz val="11"/>
      <color theme="0"/>
      <name val="Calibri"/>
      <charset val="0"/>
      <scheme val="minor"/>
    </font>
    <font>
      <sz val="10"/>
      <name val="Arial"/>
      <charset val="134"/>
    </font>
    <font>
      <sz val="11"/>
      <color rgb="FFFA7D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b/>
      <sz val="11"/>
      <color rgb="FFFFFFFF"/>
      <name val="Calibri"/>
      <charset val="0"/>
      <scheme val="minor"/>
    </font>
    <font>
      <sz val="11"/>
      <color rgb="FF006100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u/>
      <sz val="11"/>
      <color rgb="FF0000FF"/>
      <name val="Calibri"/>
      <charset val="0"/>
      <scheme val="minor"/>
    </font>
    <font>
      <sz val="10"/>
      <color theme="1"/>
      <name val="Calibri"/>
      <charset val="134"/>
      <scheme val="minor"/>
    </font>
    <font>
      <sz val="11"/>
      <color rgb="FFFF0000"/>
      <name val="Calibri"/>
      <charset val="0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sz val="11"/>
      <color rgb="FF9C6500"/>
      <name val="Calibri"/>
      <charset val="0"/>
      <scheme val="minor"/>
    </font>
    <font>
      <b/>
      <sz val="11"/>
      <color theme="3"/>
      <name val="Calibri"/>
      <charset val="134"/>
      <scheme val="minor"/>
    </font>
    <font>
      <sz val="11"/>
      <color rgb="FF9C0006"/>
      <name val="Calibri"/>
      <charset val="0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0"/>
      <color rgb="FF000000"/>
      <name val="Calibri"/>
      <charset val="134"/>
    </font>
    <font>
      <u/>
      <sz val="11"/>
      <color rgb="FFF4B183"/>
      <name val="Calibri"/>
      <charset val="134"/>
    </font>
    <font>
      <sz val="9"/>
      <name val="Tahoma"/>
      <charset val="134"/>
    </font>
  </fonts>
  <fills count="51">
    <fill>
      <patternFill patternType="none"/>
    </fill>
    <fill>
      <patternFill patternType="gray125"/>
    </fill>
    <fill>
      <patternFill patternType="solid">
        <fgColor theme="9"/>
        <bgColor theme="9"/>
      </patternFill>
    </fill>
    <fill>
      <patternFill patternType="solid">
        <fgColor theme="5" tint="0.399945066682943"/>
        <bgColor indexed="64"/>
      </patternFill>
    </fill>
    <fill>
      <patternFill patternType="solid">
        <fgColor theme="5" tint="0.399884029663991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6"/>
        <bgColor indexed="64"/>
      </patternFill>
    </fill>
    <fill>
      <patternFill patternType="solid">
        <fgColor theme="9" tint="0.4"/>
        <bgColor indexed="64"/>
      </patternFill>
    </fill>
    <fill>
      <patternFill patternType="solid">
        <fgColor theme="5" tint="0.4"/>
        <bgColor indexed="64"/>
      </patternFill>
    </fill>
    <fill>
      <patternFill patternType="solid">
        <fgColor theme="0" tint="-0.5"/>
        <bgColor indexed="64"/>
      </patternFill>
    </fill>
    <fill>
      <patternFill patternType="solid">
        <fgColor theme="9" tint="0.8"/>
        <bgColor indexed="64"/>
      </patternFill>
    </fill>
    <fill>
      <patternFill patternType="solid">
        <fgColor rgb="FF70AD47"/>
        <bgColor indexed="64"/>
      </patternFill>
    </fill>
    <fill>
      <patternFill patternType="solid">
        <fgColor rgb="FFC5E0B4"/>
        <bgColor indexed="64"/>
      </patternFill>
    </fill>
    <fill>
      <patternFill patternType="solid">
        <fgColor rgb="FFF4B183"/>
        <bgColor indexed="64"/>
      </patternFill>
    </fill>
    <fill>
      <patternFill patternType="solid">
        <fgColor rgb="FFE2F0D9"/>
        <bgColor indexed="64"/>
      </patternFill>
    </fill>
    <fill>
      <patternFill patternType="solid">
        <fgColor rgb="FF70AD47"/>
        <bgColor rgb="FF339966"/>
      </patternFill>
    </fill>
    <fill>
      <patternFill patternType="solid">
        <fgColor rgb="FFC5E0B4"/>
        <bgColor rgb="FFA9D18E"/>
      </patternFill>
    </fill>
    <fill>
      <patternFill patternType="solid">
        <fgColor rgb="FFA9D18E"/>
        <bgColor rgb="FFC5E0B4"/>
      </patternFill>
    </fill>
    <fill>
      <patternFill patternType="solid">
        <fgColor rgb="FFF4B183"/>
        <bgColor rgb="FFFF99CC"/>
      </patternFill>
    </fill>
    <fill>
      <patternFill patternType="solid">
        <fgColor rgb="FFE2F0D9"/>
        <bgColor rgb="FFF2F2F2"/>
      </patternFill>
    </fill>
    <fill>
      <patternFill patternType="solid">
        <fgColor rgb="FFF2F2F2"/>
        <bgColor rgb="FFE2F0D9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399975585192419"/>
        <bgColor indexed="64"/>
      </patternFill>
    </fill>
  </fills>
  <borders count="40">
    <border>
      <left/>
      <right/>
      <top/>
      <bottom/>
      <diagonal/>
    </border>
    <border>
      <left style="thin">
        <color theme="0"/>
      </left>
      <right/>
      <top/>
      <bottom style="thick">
        <color theme="0"/>
      </bottom>
      <diagonal/>
    </border>
    <border>
      <left/>
      <right/>
      <top/>
      <bottom style="thick">
        <color theme="0"/>
      </bottom>
      <diagonal/>
    </border>
    <border>
      <left/>
      <right style="thin">
        <color theme="0"/>
      </right>
      <top/>
      <bottom style="thick">
        <color theme="0"/>
      </bottom>
      <diagonal/>
    </border>
    <border>
      <left style="medium">
        <color auto="1"/>
      </left>
      <right/>
      <top style="medium">
        <color auto="1"/>
      </top>
      <bottom style="thick">
        <color theme="4"/>
      </bottom>
      <diagonal/>
    </border>
    <border>
      <left/>
      <right/>
      <top style="medium">
        <color auto="1"/>
      </top>
      <bottom style="thick">
        <color theme="4"/>
      </bottom>
      <diagonal/>
    </border>
    <border>
      <left/>
      <right style="medium">
        <color auto="1"/>
      </right>
      <top style="medium">
        <color auto="1"/>
      </top>
      <bottom style="thick">
        <color theme="4"/>
      </bottom>
      <diagonal/>
    </border>
    <border>
      <left style="medium">
        <color auto="1"/>
      </left>
      <right/>
      <top/>
      <bottom style="thick">
        <color theme="4"/>
      </bottom>
      <diagonal/>
    </border>
    <border>
      <left/>
      <right/>
      <top/>
      <bottom style="thick">
        <color theme="4"/>
      </bottom>
      <diagonal/>
    </border>
    <border>
      <left/>
      <right/>
      <top style="thick">
        <color theme="4"/>
      </top>
      <bottom style="thick">
        <color theme="4"/>
      </bottom>
      <diagonal/>
    </border>
    <border>
      <left/>
      <right style="medium">
        <color auto="1"/>
      </right>
      <top style="thick">
        <color theme="4"/>
      </top>
      <bottom style="thick">
        <color theme="4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/>
      <right style="medium">
        <color auto="1"/>
      </right>
      <top/>
      <bottom style="thick">
        <color theme="4"/>
      </bottom>
      <diagonal/>
    </border>
    <border>
      <left style="medium">
        <color auto="1"/>
      </left>
      <right/>
      <top style="thick">
        <color theme="4"/>
      </top>
      <bottom/>
      <diagonal/>
    </border>
    <border>
      <left/>
      <right/>
      <top style="thick">
        <color theme="4"/>
      </top>
      <bottom/>
      <diagonal/>
    </border>
    <border>
      <left style="medium">
        <color auto="1"/>
      </left>
      <right/>
      <top style="thick">
        <color theme="4"/>
      </top>
      <bottom style="thick">
        <color theme="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rgb="FFFFFFFF"/>
      </left>
      <right/>
      <top/>
      <bottom style="thick">
        <color rgb="FFFFFFFF"/>
      </bottom>
      <diagonal/>
    </border>
    <border>
      <left/>
      <right/>
      <top/>
      <bottom style="thick">
        <color rgb="FFFFFFFF"/>
      </bottom>
      <diagonal/>
    </border>
    <border>
      <left style="thin">
        <color rgb="FFFFFFFF"/>
      </left>
      <right style="thin">
        <color rgb="FFFFFFFF"/>
      </right>
      <top style="thick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ck">
        <color rgb="FFFFFFFF"/>
      </bottom>
      <diagonal/>
    </border>
    <border>
      <left style="thin">
        <color rgb="FFFFFFFF"/>
      </left>
      <right style="thin">
        <color rgb="FFFFFFFF"/>
      </right>
      <top/>
      <bottom style="thick">
        <color rgb="FFFFFFFF"/>
      </bottom>
      <diagonal/>
    </border>
    <border>
      <left/>
      <right/>
      <top style="thick">
        <color rgb="FFFFFFFF"/>
      </top>
      <bottom style="thin">
        <color rgb="FFFFFFFF"/>
      </bottom>
      <diagonal/>
    </border>
    <border>
      <left/>
      <right/>
      <top/>
      <bottom style="thin">
        <color rgb="FFFFFFFF"/>
      </bottom>
      <diagonal/>
    </border>
    <border>
      <left/>
      <right style="thin">
        <color rgb="FFFFFFFF"/>
      </right>
      <top style="thick">
        <color rgb="FFFFFFFF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/>
      <right style="thin">
        <color rgb="FFFFFFFF"/>
      </right>
      <top/>
      <bottom style="thick">
        <color rgb="FFFFFFFF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77" fontId="27" fillId="0" borderId="0" applyBorder="0" applyAlignment="0" applyProtection="0"/>
    <xf numFmtId="178" fontId="27" fillId="0" borderId="0" applyBorder="0" applyAlignment="0" applyProtection="0"/>
    <xf numFmtId="0" fontId="25" fillId="22" borderId="0" applyNumberFormat="0" applyBorder="0" applyAlignment="0" applyProtection="0">
      <alignment vertical="center"/>
    </xf>
    <xf numFmtId="9" fontId="0" fillId="0" borderId="0" applyBorder="0" applyProtection="0"/>
    <xf numFmtId="0" fontId="28" fillId="0" borderId="32" applyNumberFormat="0" applyFill="0" applyAlignment="0" applyProtection="0">
      <alignment vertical="center"/>
    </xf>
    <xf numFmtId="0" fontId="30" fillId="26" borderId="33" applyNumberFormat="0" applyAlignment="0" applyProtection="0">
      <alignment vertical="center"/>
    </xf>
    <xf numFmtId="176" fontId="27" fillId="0" borderId="0" applyBorder="0" applyAlignment="0" applyProtection="0"/>
    <xf numFmtId="0" fontId="25" fillId="28" borderId="0" applyNumberFormat="0" applyBorder="0" applyAlignment="0" applyProtection="0">
      <alignment vertical="center"/>
    </xf>
    <xf numFmtId="179" fontId="0" fillId="0" borderId="0" applyBorder="0" applyProtection="0"/>
    <xf numFmtId="0" fontId="32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34" fillId="32" borderId="34" applyNumberFormat="0" applyFont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37" fillId="0" borderId="35" applyNumberFormat="0" applyFill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38" fillId="0" borderId="35" applyNumberFormat="0" applyFill="0" applyAlignment="0" applyProtection="0">
      <alignment vertical="center"/>
    </xf>
    <xf numFmtId="0" fontId="26" fillId="38" borderId="0" applyNumberFormat="0" applyBorder="0" applyAlignment="0" applyProtection="0">
      <alignment vertical="center"/>
    </xf>
    <xf numFmtId="0" fontId="40" fillId="0" borderId="36" applyNumberFormat="0" applyFill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2" fillId="40" borderId="37" applyNumberFormat="0" applyAlignment="0" applyProtection="0">
      <alignment vertical="center"/>
    </xf>
    <xf numFmtId="0" fontId="43" fillId="41" borderId="38" applyNumberFormat="0" applyAlignment="0" applyProtection="0">
      <alignment vertical="center"/>
    </xf>
    <xf numFmtId="0" fontId="44" fillId="41" borderId="37" applyNumberFormat="0" applyAlignment="0" applyProtection="0">
      <alignment vertical="center"/>
    </xf>
    <xf numFmtId="0" fontId="45" fillId="0" borderId="39" applyNumberFormat="0" applyFill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41" fillId="39" borderId="0" applyNumberFormat="0" applyBorder="0" applyAlignment="0" applyProtection="0">
      <alignment vertical="center"/>
    </xf>
    <xf numFmtId="0" fontId="39" fillId="37" borderId="0" applyNumberFormat="0" applyBorder="0" applyAlignment="0" applyProtection="0">
      <alignment vertical="center"/>
    </xf>
    <xf numFmtId="0" fontId="25" fillId="42" borderId="0" applyNumberFormat="0" applyBorder="0" applyAlignment="0" applyProtection="0">
      <alignment vertical="center"/>
    </xf>
    <xf numFmtId="0" fontId="26" fillId="4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6" fillId="36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46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45" borderId="0" applyNumberFormat="0" applyBorder="0" applyAlignment="0" applyProtection="0">
      <alignment vertical="center"/>
    </xf>
    <xf numFmtId="0" fontId="26" fillId="47" borderId="0" applyNumberFormat="0" applyBorder="0" applyAlignment="0" applyProtection="0">
      <alignment vertical="center"/>
    </xf>
    <xf numFmtId="0" fontId="25" fillId="48" borderId="0" applyNumberFormat="0" applyBorder="0" applyAlignment="0" applyProtection="0">
      <alignment vertical="center"/>
    </xf>
    <xf numFmtId="0" fontId="26" fillId="35" borderId="0" applyNumberFormat="0" applyBorder="0" applyAlignment="0" applyProtection="0">
      <alignment vertical="center"/>
    </xf>
    <xf numFmtId="0" fontId="25" fillId="44" borderId="0" applyNumberFormat="0" applyBorder="0" applyAlignment="0" applyProtection="0">
      <alignment vertical="center"/>
    </xf>
    <xf numFmtId="0" fontId="26" fillId="49" borderId="0" applyNumberFormat="0" applyBorder="0" applyAlignment="0" applyProtection="0">
      <alignment vertical="center"/>
    </xf>
    <xf numFmtId="0" fontId="26" fillId="50" borderId="0" applyNumberFormat="0" applyBorder="0" applyAlignment="0" applyProtection="0">
      <alignment vertical="center"/>
    </xf>
  </cellStyleXfs>
  <cellXfs count="214">
    <xf numFmtId="0" fontId="0" fillId="0" borderId="0" xfId="0"/>
    <xf numFmtId="0" fontId="0" fillId="0" borderId="0" xfId="0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justify" wrapText="1"/>
    </xf>
    <xf numFmtId="180" fontId="2" fillId="0" borderId="0" xfId="0" applyNumberFormat="1" applyFont="1" applyFill="1" applyAlignment="1">
      <alignment horizontal="center" vertical="center" wrapText="1"/>
    </xf>
    <xf numFmtId="181" fontId="2" fillId="0" borderId="0" xfId="0" applyNumberFormat="1" applyFont="1" applyFill="1" applyAlignment="1">
      <alignment horizontal="center" vertical="center"/>
    </xf>
    <xf numFmtId="0" fontId="2" fillId="0" borderId="0" xfId="0" applyFont="1" applyFill="1" applyAlignment="1">
      <alignment horizontal="justify" vertical="center" wrapText="1"/>
    </xf>
    <xf numFmtId="0" fontId="2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justify" vertical="center" wrapText="1"/>
    </xf>
    <xf numFmtId="0" fontId="2" fillId="0" borderId="0" xfId="0" applyFont="1" applyFill="1" applyAlignment="1"/>
    <xf numFmtId="181" fontId="2" fillId="0" borderId="0" xfId="0" applyNumberFormat="1" applyFont="1" applyFill="1" applyAlignment="1"/>
    <xf numFmtId="0" fontId="2" fillId="0" borderId="0" xfId="0" applyFont="1" applyFill="1" applyAlignment="1">
      <alignment horizontal="left"/>
    </xf>
    <xf numFmtId="0" fontId="1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justify" vertical="center" wrapText="1"/>
    </xf>
    <xf numFmtId="182" fontId="3" fillId="3" borderId="0" xfId="0" applyNumberFormat="1" applyFont="1" applyFill="1" applyAlignment="1">
      <alignment horizontal="center" vertical="center" wrapText="1"/>
    </xf>
    <xf numFmtId="0" fontId="3" fillId="4" borderId="0" xfId="0" applyFont="1" applyFill="1" applyAlignment="1">
      <alignment horizontal="center" vertical="center" wrapText="1"/>
    </xf>
    <xf numFmtId="182" fontId="3" fillId="0" borderId="0" xfId="0" applyNumberFormat="1" applyFont="1" applyFill="1" applyAlignment="1">
      <alignment horizontal="center" vertical="center" wrapText="1"/>
    </xf>
    <xf numFmtId="182" fontId="3" fillId="4" borderId="0" xfId="0" applyNumberFormat="1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182" fontId="3" fillId="0" borderId="0" xfId="0" applyNumberFormat="1" applyFont="1" applyFill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5" fillId="5" borderId="0" xfId="0" applyFont="1" applyFill="1" applyBorder="1" applyAlignment="1">
      <alignment horizontal="center"/>
    </xf>
    <xf numFmtId="0" fontId="5" fillId="5" borderId="0" xfId="0" applyFont="1" applyFill="1" applyBorder="1" applyAlignment="1">
      <alignment horizontal="center" vertical="center" wrapText="1"/>
    </xf>
    <xf numFmtId="0" fontId="5" fillId="5" borderId="0" xfId="0" applyFont="1" applyFill="1" applyBorder="1" applyAlignment="1">
      <alignment horizontal="center" vertical="center"/>
    </xf>
    <xf numFmtId="0" fontId="6" fillId="6" borderId="0" xfId="0" applyFont="1" applyFill="1" applyAlignment="1">
      <alignment horizontal="center"/>
    </xf>
    <xf numFmtId="0" fontId="6" fillId="6" borderId="0" xfId="0" applyFont="1" applyFill="1" applyAlignment="1">
      <alignment horizontal="center" vertical="center" wrapText="1"/>
    </xf>
    <xf numFmtId="0" fontId="6" fillId="6" borderId="0" xfId="0" applyFont="1" applyFill="1" applyAlignment="1">
      <alignment horizontal="center" vertical="center"/>
    </xf>
    <xf numFmtId="0" fontId="7" fillId="7" borderId="0" xfId="0" applyFont="1" applyFill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0" fillId="0" borderId="0" xfId="0" applyFont="1" applyAlignment="1">
      <alignment horizontal="justify" wrapText="1"/>
    </xf>
    <xf numFmtId="183" fontId="8" fillId="8" borderId="0" xfId="0" applyNumberFormat="1" applyFont="1" applyFill="1" applyAlignment="1">
      <alignment horizontal="center" vertical="center" wrapText="1"/>
    </xf>
    <xf numFmtId="183" fontId="8" fillId="0" borderId="0" xfId="0" applyNumberFormat="1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1" fillId="9" borderId="0" xfId="0" applyFont="1" applyFill="1" applyAlignment="1">
      <alignment horizontal="center"/>
    </xf>
    <xf numFmtId="183" fontId="11" fillId="9" borderId="0" xfId="0" applyNumberFormat="1" applyFont="1" applyFill="1" applyAlignment="1">
      <alignment horizontal="center"/>
    </xf>
    <xf numFmtId="0" fontId="12" fillId="0" borderId="0" xfId="0" applyFont="1"/>
    <xf numFmtId="0" fontId="12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0" fillId="0" borderId="0" xfId="0" applyFont="1" applyAlignment="1">
      <alignment horizontal="justify" vertical="center" wrapText="1"/>
    </xf>
    <xf numFmtId="0" fontId="13" fillId="5" borderId="4" xfId="19" applyFont="1" applyFill="1" applyBorder="1" applyAlignment="1">
      <alignment horizontal="center"/>
    </xf>
    <xf numFmtId="0" fontId="13" fillId="5" borderId="5" xfId="19" applyFont="1" applyFill="1" applyBorder="1" applyAlignment="1">
      <alignment horizontal="center"/>
    </xf>
    <xf numFmtId="0" fontId="13" fillId="5" borderId="6" xfId="19" applyFont="1" applyFill="1" applyBorder="1" applyAlignment="1">
      <alignment horizontal="center"/>
    </xf>
    <xf numFmtId="0" fontId="13" fillId="7" borderId="7" xfId="19" applyFont="1" applyFill="1" applyBorder="1" applyAlignment="1">
      <alignment horizontal="center" vertical="center" wrapText="1"/>
    </xf>
    <xf numFmtId="0" fontId="13" fillId="7" borderId="8" xfId="19" applyFont="1" applyFill="1" applyBorder="1" applyAlignment="1">
      <alignment horizontal="center" vertical="center" wrapText="1"/>
    </xf>
    <xf numFmtId="0" fontId="13" fillId="7" borderId="9" xfId="19" applyFont="1" applyFill="1" applyBorder="1" applyAlignment="1">
      <alignment horizontal="center" vertical="center" wrapText="1"/>
    </xf>
    <xf numFmtId="0" fontId="13" fillId="7" borderId="10" xfId="19" applyFont="1" applyFill="1" applyBorder="1" applyAlignment="1">
      <alignment horizontal="center" vertical="center" wrapText="1"/>
    </xf>
    <xf numFmtId="0" fontId="13" fillId="6" borderId="7" xfId="19" applyFont="1" applyFill="1" applyBorder="1" applyAlignment="1">
      <alignment horizontal="center" vertical="center" wrapText="1"/>
    </xf>
    <xf numFmtId="0" fontId="13" fillId="6" borderId="8" xfId="19" applyFont="1" applyFill="1" applyBorder="1" applyAlignment="1">
      <alignment horizontal="center" vertical="center" wrapText="1"/>
    </xf>
    <xf numFmtId="0" fontId="13" fillId="6" borderId="9" xfId="19" applyFont="1" applyFill="1" applyBorder="1" applyAlignment="1">
      <alignment horizontal="center" vertical="center"/>
    </xf>
    <xf numFmtId="0" fontId="13" fillId="6" borderId="10" xfId="19" applyFont="1" applyFill="1" applyBorder="1" applyAlignment="1">
      <alignment horizontal="center" vertical="center"/>
    </xf>
    <xf numFmtId="0" fontId="13" fillId="8" borderId="7" xfId="19" applyFont="1" applyFill="1" applyBorder="1" applyAlignment="1">
      <alignment horizontal="center" vertical="center"/>
    </xf>
    <xf numFmtId="184" fontId="13" fillId="8" borderId="8" xfId="9" applyNumberFormat="1" applyFont="1" applyFill="1" applyBorder="1" applyAlignment="1">
      <alignment horizontal="center" vertical="center"/>
    </xf>
    <xf numFmtId="184" fontId="13" fillId="8" borderId="9" xfId="9" applyNumberFormat="1" applyFont="1" applyFill="1" applyBorder="1" applyAlignment="1">
      <alignment horizontal="center" vertical="center"/>
    </xf>
    <xf numFmtId="184" fontId="13" fillId="8" borderId="10" xfId="9" applyNumberFormat="1" applyFont="1" applyFill="1" applyBorder="1" applyAlignment="1">
      <alignment horizontal="center" vertical="center"/>
    </xf>
    <xf numFmtId="0" fontId="14" fillId="0" borderId="0" xfId="0" applyNumberFormat="1" applyFont="1" applyFill="1" applyBorder="1" applyAlignment="1" applyProtection="1"/>
    <xf numFmtId="0" fontId="4" fillId="0" borderId="11" xfId="0" applyFont="1" applyFill="1" applyBorder="1" applyAlignment="1"/>
    <xf numFmtId="0" fontId="4" fillId="0" borderId="0" xfId="0" applyFont="1" applyFill="1" applyBorder="1" applyAlignment="1"/>
    <xf numFmtId="0" fontId="4" fillId="0" borderId="12" xfId="0" applyFont="1" applyFill="1" applyBorder="1" applyAlignment="1"/>
    <xf numFmtId="184" fontId="13" fillId="0" borderId="13" xfId="19" applyNumberFormat="1" applyFont="1" applyBorder="1" applyAlignment="1">
      <alignment horizontal="center" vertical="center" wrapText="1"/>
    </xf>
    <xf numFmtId="0" fontId="13" fillId="6" borderId="14" xfId="0" applyFont="1" applyFill="1" applyBorder="1" applyAlignment="1">
      <alignment horizontal="center" vertical="center"/>
    </xf>
    <xf numFmtId="0" fontId="13" fillId="6" borderId="15" xfId="0" applyFont="1" applyFill="1" applyBorder="1" applyAlignment="1">
      <alignment horizontal="center" vertical="center"/>
    </xf>
    <xf numFmtId="0" fontId="13" fillId="6" borderId="0" xfId="0" applyFont="1" applyFill="1" applyBorder="1" applyAlignment="1">
      <alignment horizontal="center" vertical="center"/>
    </xf>
    <xf numFmtId="0" fontId="13" fillId="6" borderId="12" xfId="0" applyFont="1" applyFill="1" applyBorder="1" applyAlignment="1">
      <alignment horizontal="center" vertical="center"/>
    </xf>
    <xf numFmtId="0" fontId="4" fillId="6" borderId="11" xfId="0" applyFont="1" applyFill="1" applyBorder="1" applyAlignment="1">
      <alignment horizontal="left" vertical="top"/>
    </xf>
    <xf numFmtId="0" fontId="4" fillId="6" borderId="0" xfId="0" applyFont="1" applyFill="1" applyBorder="1" applyAlignment="1">
      <alignment horizontal="left" vertical="top"/>
    </xf>
    <xf numFmtId="10" fontId="4" fillId="8" borderId="0" xfId="4" applyNumberFormat="1" applyFont="1" applyFill="1" applyBorder="1" applyAlignment="1">
      <alignment horizontal="center" vertical="center"/>
    </xf>
    <xf numFmtId="184" fontId="4" fillId="8" borderId="12" xfId="9" applyNumberFormat="1" applyFont="1" applyFill="1" applyBorder="1" applyAlignment="1">
      <alignment horizontal="center" vertical="center"/>
    </xf>
    <xf numFmtId="0" fontId="4" fillId="10" borderId="11" xfId="0" applyFont="1" applyFill="1" applyBorder="1" applyAlignment="1">
      <alignment horizontal="left" vertical="top"/>
    </xf>
    <xf numFmtId="0" fontId="4" fillId="10" borderId="0" xfId="0" applyFont="1" applyFill="1" applyBorder="1" applyAlignment="1">
      <alignment horizontal="left" vertical="top"/>
    </xf>
    <xf numFmtId="0" fontId="13" fillId="7" borderId="16" xfId="19" applyFont="1" applyFill="1" applyBorder="1" applyAlignment="1">
      <alignment horizontal="center" vertical="center" wrapText="1"/>
    </xf>
    <xf numFmtId="184" fontId="13" fillId="8" borderId="17" xfId="19" applyNumberFormat="1" applyFont="1" applyFill="1" applyBorder="1" applyAlignment="1">
      <alignment horizontal="center" vertical="center" wrapText="1"/>
    </xf>
    <xf numFmtId="0" fontId="13" fillId="6" borderId="16" xfId="19" applyFont="1" applyFill="1" applyBorder="1" applyAlignment="1">
      <alignment horizontal="center" vertical="center" wrapText="1"/>
    </xf>
    <xf numFmtId="0" fontId="13" fillId="6" borderId="9" xfId="19" applyFont="1" applyFill="1" applyBorder="1" applyAlignment="1">
      <alignment horizontal="center" vertical="center" wrapText="1"/>
    </xf>
    <xf numFmtId="0" fontId="13" fillId="6" borderId="10" xfId="19" applyFont="1" applyFill="1" applyBorder="1" applyAlignment="1">
      <alignment horizontal="center" vertical="center" wrapText="1"/>
    </xf>
    <xf numFmtId="0" fontId="13" fillId="10" borderId="14" xfId="0" applyFont="1" applyFill="1" applyBorder="1" applyAlignment="1">
      <alignment horizontal="center" vertical="center"/>
    </xf>
    <xf numFmtId="0" fontId="13" fillId="10" borderId="15" xfId="0" applyFont="1" applyFill="1" applyBorder="1" applyAlignment="1">
      <alignment horizontal="center" vertical="center"/>
    </xf>
    <xf numFmtId="0" fontId="13" fillId="10" borderId="0" xfId="0" applyFont="1" applyFill="1" applyBorder="1" applyAlignment="1">
      <alignment horizontal="center" vertical="center"/>
    </xf>
    <xf numFmtId="0" fontId="13" fillId="10" borderId="12" xfId="0" applyFont="1" applyFill="1" applyBorder="1" applyAlignment="1">
      <alignment horizontal="center" vertical="center"/>
    </xf>
    <xf numFmtId="184" fontId="4" fillId="8" borderId="12" xfId="9" applyNumberFormat="1" applyFont="1" applyFill="1" applyBorder="1"/>
    <xf numFmtId="0" fontId="13" fillId="10" borderId="11" xfId="0" applyFont="1" applyFill="1" applyBorder="1" applyAlignment="1">
      <alignment horizontal="center"/>
    </xf>
    <xf numFmtId="0" fontId="13" fillId="10" borderId="0" xfId="0" applyFont="1" applyFill="1" applyBorder="1" applyAlignment="1">
      <alignment horizontal="center"/>
    </xf>
    <xf numFmtId="10" fontId="13" fillId="8" borderId="0" xfId="0" applyNumberFormat="1" applyFont="1" applyFill="1" applyBorder="1" applyAlignment="1">
      <alignment horizontal="center" vertical="center"/>
    </xf>
    <xf numFmtId="184" fontId="13" fillId="8" borderId="12" xfId="0" applyNumberFormat="1" applyFont="1" applyFill="1" applyBorder="1" applyAlignment="1">
      <alignment horizontal="center" vertical="center"/>
    </xf>
    <xf numFmtId="0" fontId="13" fillId="5" borderId="16" xfId="19" applyFont="1" applyFill="1" applyBorder="1" applyAlignment="1">
      <alignment horizontal="center" vertical="center" wrapText="1"/>
    </xf>
    <xf numFmtId="0" fontId="13" fillId="5" borderId="9" xfId="19" applyFont="1" applyFill="1" applyBorder="1" applyAlignment="1">
      <alignment horizontal="center" vertical="center" wrapText="1"/>
    </xf>
    <xf numFmtId="0" fontId="13" fillId="5" borderId="10" xfId="19" applyFont="1" applyFill="1" applyBorder="1" applyAlignment="1">
      <alignment horizontal="center" vertical="center" wrapText="1"/>
    </xf>
    <xf numFmtId="184" fontId="13" fillId="5" borderId="17" xfId="19" applyNumberFormat="1" applyFont="1" applyFill="1" applyBorder="1" applyAlignment="1">
      <alignment horizontal="center" vertical="center" wrapText="1"/>
    </xf>
    <xf numFmtId="0" fontId="3" fillId="0" borderId="0" xfId="0" applyFont="1" applyFill="1" applyAlignment="1"/>
    <xf numFmtId="0" fontId="2" fillId="0" borderId="0" xfId="0" applyFont="1" applyFill="1" applyAlignment="1">
      <alignment vertical="center" wrapText="1"/>
    </xf>
    <xf numFmtId="0" fontId="15" fillId="11" borderId="18" xfId="0" applyNumberFormat="1" applyFont="1" applyFill="1" applyBorder="1" applyAlignment="1" applyProtection="1">
      <alignment horizontal="center" vertical="center"/>
    </xf>
    <xf numFmtId="0" fontId="15" fillId="11" borderId="19" xfId="0" applyNumberFormat="1" applyFont="1" applyFill="1" applyBorder="1" applyAlignment="1" applyProtection="1">
      <alignment horizontal="center" vertical="center"/>
    </xf>
    <xf numFmtId="0" fontId="16" fillId="12" borderId="20" xfId="0" applyNumberFormat="1" applyFont="1" applyFill="1" applyBorder="1" applyAlignment="1" applyProtection="1">
      <alignment horizontal="left" vertical="center"/>
    </xf>
    <xf numFmtId="10" fontId="16" fillId="13" borderId="0" xfId="0" applyNumberFormat="1" applyFont="1" applyFill="1" applyBorder="1" applyAlignment="1" applyProtection="1">
      <alignment horizontal="center" vertical="center"/>
    </xf>
    <xf numFmtId="0" fontId="16" fillId="14" borderId="21" xfId="0" applyNumberFormat="1" applyFont="1" applyFill="1" applyBorder="1" applyAlignment="1" applyProtection="1">
      <alignment horizontal="left" vertical="center"/>
    </xf>
    <xf numFmtId="186" fontId="16" fillId="13" borderId="0" xfId="0" applyNumberFormat="1" applyFont="1" applyFill="1" applyBorder="1" applyAlignment="1" applyProtection="1">
      <alignment horizontal="center"/>
    </xf>
    <xf numFmtId="187" fontId="16" fillId="13" borderId="0" xfId="0" applyNumberFormat="1" applyFont="1" applyFill="1" applyBorder="1" applyAlignment="1" applyProtection="1">
      <alignment horizontal="center" vertical="center"/>
    </xf>
    <xf numFmtId="0" fontId="17" fillId="0" borderId="0" xfId="0" applyNumberFormat="1" applyFont="1" applyFill="1" applyBorder="1" applyAlignment="1" applyProtection="1"/>
    <xf numFmtId="0" fontId="18" fillId="15" borderId="22" xfId="0" applyFont="1" applyFill="1" applyBorder="1" applyAlignment="1">
      <alignment horizontal="center"/>
    </xf>
    <xf numFmtId="0" fontId="7" fillId="16" borderId="23" xfId="0" applyFont="1" applyFill="1" applyBorder="1" applyAlignment="1">
      <alignment horizontal="left" wrapText="1"/>
    </xf>
    <xf numFmtId="0" fontId="7" fillId="17" borderId="0" xfId="0" applyFont="1" applyFill="1" applyBorder="1" applyAlignment="1">
      <alignment horizontal="left" wrapText="1"/>
    </xf>
    <xf numFmtId="49" fontId="0" fillId="17" borderId="0" xfId="0" applyNumberFormat="1" applyFont="1" applyFill="1" applyBorder="1" applyAlignment="1">
      <alignment horizontal="left"/>
    </xf>
    <xf numFmtId="0" fontId="0" fillId="17" borderId="0" xfId="0" applyFont="1" applyFill="1" applyBorder="1" applyAlignment="1">
      <alignment horizontal="left"/>
    </xf>
    <xf numFmtId="0" fontId="7" fillId="0" borderId="0" xfId="0" applyFont="1" applyBorder="1" applyAlignment="1">
      <alignment horizontal="left" wrapText="1"/>
    </xf>
    <xf numFmtId="0" fontId="0" fillId="0" borderId="0" xfId="0" applyFont="1" applyBorder="1" applyAlignment="1">
      <alignment horizontal="left"/>
    </xf>
    <xf numFmtId="0" fontId="19" fillId="15" borderId="24" xfId="0" applyFont="1" applyFill="1" applyBorder="1" applyAlignment="1">
      <alignment horizontal="center"/>
    </xf>
    <xf numFmtId="0" fontId="0" fillId="16" borderId="25" xfId="0" applyFont="1" applyFill="1" applyBorder="1" applyAlignment="1">
      <alignment horizontal="center"/>
    </xf>
    <xf numFmtId="0" fontId="0" fillId="16" borderId="20" xfId="0" applyFont="1" applyFill="1" applyBorder="1"/>
    <xf numFmtId="0" fontId="0" fillId="18" borderId="20" xfId="0" applyFont="1" applyFill="1" applyBorder="1" applyAlignment="1">
      <alignment horizontal="center"/>
    </xf>
    <xf numFmtId="0" fontId="0" fillId="19" borderId="26" xfId="0" applyFont="1" applyFill="1" applyBorder="1" applyAlignment="1">
      <alignment horizontal="center"/>
    </xf>
    <xf numFmtId="0" fontId="0" fillId="19" borderId="27" xfId="0" applyFont="1" applyFill="1" applyBorder="1"/>
    <xf numFmtId="0" fontId="0" fillId="18" borderId="27" xfId="0" applyFont="1" applyFill="1" applyBorder="1" applyAlignment="1">
      <alignment horizontal="center"/>
    </xf>
    <xf numFmtId="0" fontId="0" fillId="16" borderId="26" xfId="0" applyFont="1" applyFill="1" applyBorder="1" applyAlignment="1">
      <alignment horizontal="center"/>
    </xf>
    <xf numFmtId="0" fontId="0" fillId="16" borderId="27" xfId="0" applyFont="1" applyFill="1" applyBorder="1"/>
    <xf numFmtId="0" fontId="19" fillId="15" borderId="22" xfId="0" applyFont="1" applyFill="1" applyBorder="1" applyAlignment="1">
      <alignment horizontal="center"/>
    </xf>
    <xf numFmtId="0" fontId="19" fillId="15" borderId="28" xfId="0" applyFont="1" applyFill="1" applyBorder="1" applyAlignment="1">
      <alignment horizontal="center" wrapText="1"/>
    </xf>
    <xf numFmtId="0" fontId="19" fillId="15" borderId="18" xfId="0" applyFont="1" applyFill="1" applyBorder="1" applyAlignment="1">
      <alignment horizontal="center"/>
    </xf>
    <xf numFmtId="0" fontId="0" fillId="16" borderId="27" xfId="0" applyFont="1" applyFill="1" applyBorder="1" applyAlignment="1">
      <alignment horizontal="center"/>
    </xf>
    <xf numFmtId="0" fontId="0" fillId="18" borderId="29" xfId="0" applyFont="1" applyFill="1" applyBorder="1" applyAlignment="1">
      <alignment horizontal="center"/>
    </xf>
    <xf numFmtId="0" fontId="0" fillId="19" borderId="27" xfId="0" applyFont="1" applyFill="1" applyBorder="1" applyAlignment="1">
      <alignment horizontal="center"/>
    </xf>
    <xf numFmtId="180" fontId="0" fillId="18" borderId="29" xfId="0" applyNumberFormat="1" applyFont="1" applyFill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7" fillId="0" borderId="0" xfId="0" applyFont="1" applyBorder="1" applyAlignment="1">
      <alignment horizontal="center" vertical="center"/>
    </xf>
    <xf numFmtId="0" fontId="0" fillId="0" borderId="0" xfId="0" applyFont="1" applyAlignment="1">
      <alignment horizontal="center"/>
    </xf>
    <xf numFmtId="0" fontId="0" fillId="18" borderId="0" xfId="0" applyFill="1" applyAlignment="1">
      <alignment horizontal="center"/>
    </xf>
    <xf numFmtId="180" fontId="0" fillId="18" borderId="0" xfId="0" applyNumberFormat="1" applyFill="1" applyAlignment="1">
      <alignment horizontal="center"/>
    </xf>
    <xf numFmtId="0" fontId="0" fillId="18" borderId="0" xfId="0" applyFont="1" applyFill="1" applyAlignment="1">
      <alignment horizontal="center"/>
    </xf>
    <xf numFmtId="49" fontId="0" fillId="18" borderId="0" xfId="0" applyNumberFormat="1" applyFont="1" applyFill="1" applyAlignment="1">
      <alignment horizontal="center"/>
    </xf>
    <xf numFmtId="0" fontId="0" fillId="0" borderId="0" xfId="0" applyFont="1"/>
    <xf numFmtId="10" fontId="0" fillId="0" borderId="0" xfId="0" applyNumberFormat="1" applyAlignment="1">
      <alignment horizontal="center" vertical="center"/>
    </xf>
    <xf numFmtId="180" fontId="0" fillId="0" borderId="0" xfId="0" applyNumberFormat="1" applyAlignment="1">
      <alignment horizontal="center"/>
    </xf>
    <xf numFmtId="0" fontId="19" fillId="15" borderId="0" xfId="0" applyFont="1" applyFill="1" applyBorder="1" applyAlignment="1">
      <alignment horizontal="center"/>
    </xf>
    <xf numFmtId="10" fontId="0" fillId="0" borderId="0" xfId="4" applyNumberFormat="1" applyFont="1" applyBorder="1" applyAlignment="1" applyProtection="1">
      <alignment horizontal="center"/>
    </xf>
    <xf numFmtId="0" fontId="0" fillId="0" borderId="0" xfId="0" applyAlignment="1"/>
    <xf numFmtId="0" fontId="19" fillId="15" borderId="0" xfId="0" applyFont="1" applyFill="1" applyBorder="1" applyAlignment="1">
      <alignment horizontal="center" vertical="center"/>
    </xf>
    <xf numFmtId="0" fontId="7" fillId="16" borderId="20" xfId="0" applyFont="1" applyFill="1" applyBorder="1" applyAlignment="1">
      <alignment horizontal="center" vertical="center"/>
    </xf>
    <xf numFmtId="186" fontId="0" fillId="18" borderId="21" xfId="0" applyNumberFormat="1" applyFont="1" applyFill="1" applyBorder="1" applyAlignment="1">
      <alignment horizontal="center" vertical="center"/>
    </xf>
    <xf numFmtId="0" fontId="7" fillId="19" borderId="21" xfId="0" applyFont="1" applyFill="1" applyBorder="1" applyAlignment="1">
      <alignment horizontal="center" vertical="center"/>
    </xf>
    <xf numFmtId="186" fontId="7" fillId="18" borderId="21" xfId="0" applyNumberFormat="1" applyFont="1" applyFill="1" applyBorder="1" applyAlignment="1">
      <alignment horizontal="center" vertical="center"/>
    </xf>
    <xf numFmtId="10" fontId="0" fillId="0" borderId="0" xfId="0" applyNumberFormat="1" applyAlignment="1">
      <alignment horizontal="center"/>
    </xf>
    <xf numFmtId="10" fontId="0" fillId="18" borderId="0" xfId="4" applyNumberFormat="1" applyFont="1" applyFill="1" applyBorder="1" applyAlignment="1" applyProtection="1">
      <alignment horizontal="center"/>
    </xf>
    <xf numFmtId="180" fontId="0" fillId="18" borderId="0" xfId="0" applyNumberFormat="1" applyFont="1" applyFill="1" applyAlignment="1">
      <alignment horizontal="center"/>
    </xf>
    <xf numFmtId="0" fontId="0" fillId="0" borderId="0" xfId="0" applyFont="1" applyAlignment="1">
      <alignment horizontal="center" vertical="center"/>
    </xf>
    <xf numFmtId="0" fontId="0" fillId="0" borderId="0" xfId="0" applyFont="1" applyAlignment="1">
      <alignment vertical="center"/>
    </xf>
    <xf numFmtId="180" fontId="0" fillId="18" borderId="0" xfId="0" applyNumberFormat="1" applyFill="1" applyAlignment="1">
      <alignment horizontal="center" vertical="center"/>
    </xf>
    <xf numFmtId="180" fontId="0" fillId="0" borderId="0" xfId="0" applyNumberFormat="1" applyFont="1" applyAlignment="1">
      <alignment horizontal="left" vertical="center"/>
    </xf>
    <xf numFmtId="10" fontId="0" fillId="0" borderId="0" xfId="4" applyNumberFormat="1" applyFont="1" applyBorder="1" applyAlignment="1" applyProtection="1">
      <alignment horizontal="center" vertical="center"/>
    </xf>
    <xf numFmtId="0" fontId="0" fillId="0" borderId="0" xfId="0" applyFont="1" applyAlignment="1">
      <alignment wrapText="1"/>
    </xf>
    <xf numFmtId="10" fontId="0" fillId="18" borderId="0" xfId="4" applyNumberFormat="1" applyFont="1" applyFill="1" applyBorder="1" applyAlignment="1" applyProtection="1">
      <alignment horizontal="center" vertical="center"/>
    </xf>
    <xf numFmtId="10" fontId="0" fillId="8" borderId="0" xfId="4" applyNumberFormat="1" applyFont="1" applyFill="1" applyBorder="1" applyAlignment="1" applyProtection="1">
      <alignment horizontal="center" vertical="center"/>
    </xf>
    <xf numFmtId="180" fontId="0" fillId="8" borderId="0" xfId="0" applyNumberFormat="1" applyFill="1" applyAlignment="1">
      <alignment horizontal="center"/>
    </xf>
    <xf numFmtId="0" fontId="19" fillId="15" borderId="0" xfId="0" applyFont="1" applyFill="1" applyBorder="1" applyAlignment="1">
      <alignment horizontal="center" wrapText="1"/>
    </xf>
    <xf numFmtId="185" fontId="0" fillId="18" borderId="0" xfId="0" applyNumberFormat="1" applyFill="1" applyAlignment="1">
      <alignment horizontal="center"/>
    </xf>
    <xf numFmtId="0" fontId="0" fillId="0" borderId="0" xfId="0" applyAlignment="1">
      <alignment vertical="center" wrapText="1"/>
    </xf>
    <xf numFmtId="0" fontId="20" fillId="0" borderId="0" xfId="0" applyFont="1" applyAlignment="1">
      <alignment horizontal="center" vertical="center" wrapText="1"/>
    </xf>
    <xf numFmtId="180" fontId="20" fillId="0" borderId="0" xfId="0" applyNumberFormat="1" applyFont="1" applyAlignment="1">
      <alignment vertical="center"/>
    </xf>
    <xf numFmtId="0" fontId="20" fillId="0" borderId="0" xfId="0" applyFont="1" applyAlignment="1">
      <alignment horizontal="center"/>
    </xf>
    <xf numFmtId="180" fontId="20" fillId="0" borderId="0" xfId="0" applyNumberFormat="1" applyFont="1" applyAlignment="1">
      <alignment horizontal="center"/>
    </xf>
    <xf numFmtId="180" fontId="21" fillId="18" borderId="0" xfId="0" applyNumberFormat="1" applyFont="1" applyFill="1" applyAlignment="1">
      <alignment horizontal="center"/>
    </xf>
    <xf numFmtId="180" fontId="0" fillId="0" borderId="0" xfId="0" applyNumberFormat="1" applyAlignment="1">
      <alignment horizontal="center" vertical="center"/>
    </xf>
    <xf numFmtId="180" fontId="8" fillId="18" borderId="0" xfId="0" applyNumberFormat="1" applyFont="1" applyFill="1" applyAlignment="1">
      <alignment horizontal="center"/>
    </xf>
    <xf numFmtId="180" fontId="8" fillId="0" borderId="0" xfId="0" applyNumberFormat="1" applyFont="1" applyAlignment="1">
      <alignment horizontal="center"/>
    </xf>
    <xf numFmtId="0" fontId="19" fillId="15" borderId="18" xfId="0" applyFont="1" applyFill="1" applyBorder="1" applyAlignment="1">
      <alignment horizontal="center" vertical="center"/>
    </xf>
    <xf numFmtId="10" fontId="8" fillId="18" borderId="0" xfId="4" applyNumberFormat="1" applyFont="1" applyFill="1" applyBorder="1" applyAlignment="1" applyProtection="1">
      <alignment horizontal="center"/>
    </xf>
    <xf numFmtId="0" fontId="0" fillId="16" borderId="20" xfId="0" applyFont="1" applyFill="1" applyBorder="1" applyAlignment="1">
      <alignment horizontal="left" vertical="center"/>
    </xf>
    <xf numFmtId="0" fontId="0" fillId="19" borderId="21" xfId="0" applyFont="1" applyFill="1" applyBorder="1" applyAlignment="1">
      <alignment horizontal="left" vertical="center"/>
    </xf>
    <xf numFmtId="186" fontId="0" fillId="18" borderId="0" xfId="0" applyNumberFormat="1" applyFill="1" applyAlignment="1">
      <alignment horizontal="center" vertical="center"/>
    </xf>
    <xf numFmtId="187" fontId="0" fillId="18" borderId="0" xfId="0" applyNumberFormat="1" applyFill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Font="1" applyAlignment="1">
      <alignment horizontal="right"/>
    </xf>
    <xf numFmtId="0" fontId="22" fillId="15" borderId="0" xfId="0" applyFont="1" applyFill="1"/>
    <xf numFmtId="0" fontId="19" fillId="15" borderId="0" xfId="0" applyFont="1" applyFill="1" applyAlignment="1">
      <alignment horizontal="center" vertical="center"/>
    </xf>
    <xf numFmtId="180" fontId="19" fillId="15" borderId="0" xfId="0" applyNumberFormat="1" applyFont="1" applyFill="1" applyAlignment="1">
      <alignment horizontal="center"/>
    </xf>
    <xf numFmtId="0" fontId="23" fillId="0" borderId="0" xfId="0" applyFont="1"/>
    <xf numFmtId="10" fontId="0" fillId="0" borderId="0" xfId="0" applyNumberFormat="1"/>
    <xf numFmtId="181" fontId="0" fillId="0" borderId="0" xfId="0" applyNumberFormat="1" applyAlignment="1">
      <alignment horizontal="center" vertical="center"/>
    </xf>
    <xf numFmtId="186" fontId="0" fillId="18" borderId="0" xfId="0" applyNumberFormat="1" applyFill="1" applyAlignment="1">
      <alignment horizontal="center"/>
    </xf>
    <xf numFmtId="0" fontId="22" fillId="15" borderId="0" xfId="0" applyFont="1" applyFill="1" applyAlignment="1">
      <alignment wrapText="1"/>
    </xf>
    <xf numFmtId="0" fontId="19" fillId="15" borderId="0" xfId="0" applyFont="1" applyFill="1" applyAlignment="1">
      <alignment horizontal="center" vertical="center" wrapText="1"/>
    </xf>
    <xf numFmtId="180" fontId="19" fillId="15" borderId="0" xfId="0" applyNumberFormat="1" applyFont="1" applyFill="1" applyAlignment="1">
      <alignment horizontal="center" wrapText="1"/>
    </xf>
    <xf numFmtId="181" fontId="0" fillId="18" borderId="0" xfId="0" applyNumberFormat="1" applyFill="1" applyAlignment="1">
      <alignment horizontal="center" vertical="center"/>
    </xf>
    <xf numFmtId="181" fontId="0" fillId="8" borderId="0" xfId="0" applyNumberFormat="1" applyFill="1" applyAlignment="1">
      <alignment horizontal="center" vertical="center"/>
    </xf>
    <xf numFmtId="180" fontId="20" fillId="0" borderId="0" xfId="0" applyNumberFormat="1" applyFont="1" applyAlignment="1">
      <alignment vertical="center" wrapText="1"/>
    </xf>
    <xf numFmtId="180" fontId="20" fillId="0" borderId="0" xfId="0" applyNumberFormat="1" applyFont="1" applyAlignment="1">
      <alignment horizontal="center" wrapText="1"/>
    </xf>
    <xf numFmtId="186" fontId="0" fillId="18" borderId="0" xfId="0" applyNumberFormat="1" applyFill="1"/>
    <xf numFmtId="0" fontId="0" fillId="18" borderId="0" xfId="0" applyFill="1" applyAlignment="1">
      <alignment horizontal="center" wrapText="1"/>
    </xf>
    <xf numFmtId="180" fontId="12" fillId="18" borderId="0" xfId="0" applyNumberFormat="1" applyFont="1" applyFill="1" applyAlignment="1">
      <alignment horizontal="center"/>
    </xf>
    <xf numFmtId="180" fontId="0" fillId="8" borderId="0" xfId="0" applyNumberFormat="1" applyFill="1" applyAlignment="1">
      <alignment horizontal="center" vertical="center"/>
    </xf>
    <xf numFmtId="183" fontId="8" fillId="18" borderId="0" xfId="0" applyNumberFormat="1" applyFont="1" applyFill="1" applyAlignment="1">
      <alignment horizontal="center"/>
    </xf>
    <xf numFmtId="0" fontId="8" fillId="0" borderId="0" xfId="0" applyFont="1"/>
    <xf numFmtId="0" fontId="7" fillId="0" borderId="30" xfId="0" applyFont="1" applyBorder="1" applyAlignment="1">
      <alignment horizontal="center"/>
    </xf>
    <xf numFmtId="179" fontId="0" fillId="18" borderId="0" xfId="9" applyFont="1" applyFill="1" applyBorder="1" applyAlignment="1" applyProtection="1">
      <alignment horizontal="center"/>
    </xf>
    <xf numFmtId="188" fontId="0" fillId="18" borderId="0" xfId="0" applyNumberFormat="1" applyFill="1" applyAlignment="1">
      <alignment horizontal="center"/>
    </xf>
    <xf numFmtId="9" fontId="0" fillId="18" borderId="0" xfId="0" applyNumberFormat="1" applyFill="1" applyAlignment="1">
      <alignment horizontal="center"/>
    </xf>
    <xf numFmtId="0" fontId="0" fillId="0" borderId="0" xfId="0" applyFont="1" applyAlignment="1"/>
    <xf numFmtId="10" fontId="0" fillId="18" borderId="0" xfId="4" applyNumberFormat="1" applyFont="1" applyFill="1" applyBorder="1" applyAlignment="1" applyProtection="1"/>
    <xf numFmtId="10" fontId="0" fillId="0" borderId="0" xfId="4" applyNumberFormat="1" applyFont="1" applyBorder="1" applyAlignment="1" applyProtection="1"/>
    <xf numFmtId="0" fontId="7" fillId="0" borderId="0" xfId="0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0" fontId="0" fillId="0" borderId="0" xfId="0" applyFont="1" applyAlignment="1">
      <alignment horizontal="center" vertical="center" wrapText="1"/>
    </xf>
    <xf numFmtId="0" fontId="0" fillId="0" borderId="0" xfId="0" applyFont="1" applyAlignment="1">
      <alignment horizontal="left" vertical="center"/>
    </xf>
    <xf numFmtId="180" fontId="0" fillId="0" borderId="0" xfId="0" applyNumberFormat="1" applyFont="1" applyAlignment="1">
      <alignment horizontal="center" vertical="center" wrapText="1"/>
    </xf>
    <xf numFmtId="180" fontId="22" fillId="15" borderId="0" xfId="0" applyNumberFormat="1" applyFont="1" applyFill="1" applyAlignment="1">
      <alignment horizontal="center"/>
    </xf>
    <xf numFmtId="0" fontId="7" fillId="20" borderId="31" xfId="0" applyFont="1" applyFill="1" applyBorder="1" applyAlignment="1">
      <alignment horizontal="center"/>
    </xf>
    <xf numFmtId="0" fontId="0" fillId="20" borderId="0" xfId="0" applyFont="1" applyFill="1" applyBorder="1" applyAlignment="1">
      <alignment horizontal="left" vertical="center" wrapText="1"/>
    </xf>
    <xf numFmtId="0" fontId="0" fillId="20" borderId="0" xfId="0" applyFont="1" applyFill="1" applyBorder="1" applyAlignment="1">
      <alignment horizontal="left" wrapText="1"/>
    </xf>
    <xf numFmtId="0" fontId="7" fillId="20" borderId="0" xfId="0" applyFont="1" applyFill="1" applyBorder="1" applyAlignment="1">
      <alignment horizontal="left" vertical="center" wrapText="1"/>
    </xf>
    <xf numFmtId="0" fontId="24" fillId="20" borderId="0" xfId="0" applyFont="1" applyFill="1" applyBorder="1" applyAlignment="1">
      <alignment horizontal="center"/>
    </xf>
    <xf numFmtId="0" fontId="0" fillId="20" borderId="0" xfId="0" applyFont="1" applyFill="1" applyBorder="1" applyAlignment="1">
      <alignment horizontal="center"/>
    </xf>
  </cellXfs>
  <cellStyles count="49">
    <cellStyle name="Normal" xfId="0" builtinId="0"/>
    <cellStyle name="Comma" xfId="1" builtinId="3"/>
    <cellStyle name="Comma [0]" xfId="2" builtinId="6"/>
    <cellStyle name="40% - Ênfase 4" xfId="3" builtinId="43"/>
    <cellStyle name="Porcentagem" xfId="4" builtinId="5"/>
    <cellStyle name="Célula Vinculada" xfId="5" builtinId="24"/>
    <cellStyle name="Célula de Verificação" xfId="6" builtinId="23"/>
    <cellStyle name="Moeda [0]" xfId="7" builtinId="7"/>
    <cellStyle name="20% - Ênfase 3" xfId="8" builtinId="38"/>
    <cellStyle name="Moeda" xfId="9" builtinId="4"/>
    <cellStyle name="Hyperlink seguido" xfId="10" builtinId="9"/>
    <cellStyle name="Hyperlink" xfId="11" builtinId="8"/>
    <cellStyle name="40% - Ênfase 2" xfId="12" builtinId="35"/>
    <cellStyle name="Observação" xfId="13" builtinId="10"/>
    <cellStyle name="40% - Ênfase 6" xfId="14" builtinId="51"/>
    <cellStyle name="Texto de Aviso" xfId="15" builtinId="11"/>
    <cellStyle name="Título" xfId="16" builtinId="15"/>
    <cellStyle name="Texto Explicativo" xfId="17" builtinId="53"/>
    <cellStyle name="Ênfase 3" xfId="18" builtinId="37"/>
    <cellStyle name="Título 1" xfId="19" builtinId="16"/>
    <cellStyle name="Ênfase 4" xfId="20" builtinId="41"/>
    <cellStyle name="Título 2" xfId="21" builtinId="17"/>
    <cellStyle name="Ênfase 5" xfId="22" builtinId="45"/>
    <cellStyle name="Título 3" xfId="23" builtinId="18"/>
    <cellStyle name="Ênfase 6" xfId="24" builtinId="49"/>
    <cellStyle name="Título 4" xfId="25" builtinId="19"/>
    <cellStyle name="Entrada" xfId="26" builtinId="20"/>
    <cellStyle name="Saída" xfId="27" builtinId="21"/>
    <cellStyle name="Cálculo" xfId="28" builtinId="22"/>
    <cellStyle name="Total" xfId="29" builtinId="25"/>
    <cellStyle name="40% - Ênfase 1" xfId="30" builtinId="31"/>
    <cellStyle name="Bom" xfId="31" builtinId="26"/>
    <cellStyle name="Ruim" xfId="32" builtinId="27"/>
    <cellStyle name="Neutro" xfId="33" builtinId="28"/>
    <cellStyle name="20% - Ênfase 5" xfId="34" builtinId="46"/>
    <cellStyle name="Ênfase 1" xfId="35" builtinId="29"/>
    <cellStyle name="20% - Ênfase 1" xfId="36" builtinId="30"/>
    <cellStyle name="60% - Ênfase 1" xfId="37" builtinId="32"/>
    <cellStyle name="20% - Ênfase 6" xfId="38" builtinId="50"/>
    <cellStyle name="Ênfase 2" xfId="39" builtinId="33"/>
    <cellStyle name="20% - Ênfase 2" xfId="40" builtinId="34"/>
    <cellStyle name="60% - Ênfase 2" xfId="41" builtinId="36"/>
    <cellStyle name="40% - Ênfase 3" xfId="42" builtinId="39"/>
    <cellStyle name="60% - Ênfase 3" xfId="43" builtinId="40"/>
    <cellStyle name="20% - Ênfase 4" xfId="44" builtinId="42"/>
    <cellStyle name="60% - Ênfase 4" xfId="45" builtinId="44"/>
    <cellStyle name="40% - Ênfase 5" xfId="46" builtinId="47"/>
    <cellStyle name="60% - Ênfase 5" xfId="47" builtinId="48"/>
    <cellStyle name="60% - Ênfase 6" xfId="48" builtinId="52"/>
  </cellStyles>
  <dxfs count="282"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font>
        <color theme="0"/>
      </font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font>
        <color auto="1"/>
      </font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font>
        <color theme="0"/>
      </font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font>
        <color theme="0"/>
      </font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font>
        <color theme="0"/>
      </font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fill>
        <patternFill patternType="solid">
          <bgColor theme="5" tint="0.4"/>
        </patternFill>
      </fill>
      <alignment wrapText="1"/>
    </dxf>
    <dxf>
      <alignment wrapText="1"/>
    </dxf>
    <dxf>
      <alignment wrapText="1"/>
    </dxf>
    <dxf>
      <alignment wrapText="1"/>
    </dxf>
    <dxf>
      <font>
        <name val="Calibri"/>
        <scheme val="none"/>
        <charset val="134"/>
        <family val="0"/>
        <b val="0"/>
        <i val="0"/>
        <strike val="0"/>
        <u val="none"/>
        <sz val="11"/>
        <color rgb="FFFF0000"/>
      </font>
    </dxf>
    <dxf>
      <font>
        <name val="Calibri"/>
        <scheme val="none"/>
        <charset val="134"/>
        <family val="0"/>
        <b val="0"/>
        <i val="0"/>
        <strike val="0"/>
        <u val="none"/>
        <sz val="11"/>
        <color rgb="FFFF0000"/>
      </font>
      <alignment horizontal="center" vertical="center" wrapText="1"/>
    </dxf>
    <dxf>
      <font>
        <name val="Calibri"/>
        <scheme val="none"/>
        <charset val="134"/>
        <family val="0"/>
        <b val="0"/>
        <i val="0"/>
        <strike val="0"/>
        <u val="none"/>
        <sz val="11"/>
        <color rgb="FFFF0000"/>
      </font>
    </dxf>
    <dxf>
      <font>
        <name val="Calibri"/>
        <scheme val="none"/>
        <charset val="134"/>
        <family val="0"/>
        <b val="0"/>
        <i val="0"/>
        <strike val="0"/>
        <u val="none"/>
        <sz val="11"/>
        <color rgb="FFFF0000"/>
      </font>
      <alignment horizontal="center" vertical="center"/>
    </dxf>
    <dxf>
      <font>
        <name val="Calibri"/>
        <scheme val="none"/>
        <charset val="134"/>
        <family val="0"/>
        <b val="0"/>
        <i val="0"/>
        <strike val="0"/>
        <u val="none"/>
        <sz val="11"/>
        <color rgb="FFFF0000"/>
      </font>
    </dxf>
    <dxf>
      <font>
        <name val="Calibri"/>
        <scheme val="none"/>
        <charset val="134"/>
        <family val="0"/>
        <b val="0"/>
        <i val="0"/>
        <strike val="0"/>
        <u val="none"/>
        <sz val="11"/>
        <color rgb="FFFF0000"/>
      </font>
    </dxf>
    <dxf>
      <font>
        <name val="Calibri"/>
        <scheme val="none"/>
        <charset val="134"/>
        <family val="0"/>
        <b val="0"/>
        <i val="0"/>
        <strike val="0"/>
        <u val="none"/>
        <sz val="11"/>
        <color rgb="FFFF0000"/>
      </font>
    </dxf>
    <dxf>
      <font>
        <name val="Calibri"/>
        <scheme val="none"/>
        <charset val="134"/>
        <family val="0"/>
        <b val="0"/>
        <i val="0"/>
        <strike val="0"/>
        <u val="none"/>
        <sz val="11"/>
        <color rgb="FFFF0000"/>
      </font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horizontal="center" vertical="center" wrapText="1"/>
    </dxf>
    <dxf>
      <alignment wrapText="1"/>
    </dxf>
    <dxf>
      <alignment horizontal="center" vertical="center"/>
    </dxf>
    <dxf>
      <alignment wrapText="1"/>
    </dxf>
    <dxf>
      <alignment wrapText="1"/>
    </dxf>
    <dxf>
      <alignment wrapText="1"/>
    </dxf>
    <dxf>
      <alignment wrapText="1"/>
    </dxf>
    <dxf>
      <alignment horizontal="center" vertical="center" wrapText="1"/>
    </dxf>
    <dxf>
      <alignment horizontal="center" vertical="center"/>
    </dxf>
    <dxf>
      <font>
        <color auto="1"/>
      </font>
      <alignment horizontal="center" vertical="center"/>
    </dxf>
    <dxf>
      <font>
        <color auto="1"/>
      </font>
      <alignment horizontal="center" vertical="center"/>
    </dxf>
    <dxf>
      <font>
        <color auto="1"/>
      </font>
      <alignment horizontal="justify" vertical="center"/>
    </dxf>
    <dxf>
      <font>
        <color auto="1"/>
      </font>
      <alignment horizontal="center" vertical="center"/>
    </dxf>
    <dxf>
      <font>
        <color auto="1"/>
      </font>
      <alignment horizontal="center" vertical="center"/>
    </dxf>
    <dxf>
      <font>
        <color auto="1"/>
      </font>
      <alignment horizontal="center" vertical="center"/>
    </dxf>
    <dxf>
      <font>
        <color auto="1"/>
      </font>
      <alignment horizontal="center" vertical="center"/>
    </dxf>
    <dxf>
      <alignment wrapText="1"/>
    </dxf>
    <dxf>
      <alignment wrapText="1"/>
    </dxf>
    <dxf>
      <alignment horizontal="center" vertical="center"/>
    </dxf>
    <dxf>
      <alignment wrapText="1"/>
    </dxf>
    <dxf>
      <alignment wrapText="1"/>
    </dxf>
    <dxf>
      <numFmt numFmtId="181" formatCode="&quot;R$&quot;\ #,##0.00_);[Red]\(&quot;R$&quot;\ #,##0.00\)"/>
      <alignment horizontal="center" vertical="center"/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A9D18E"/>
      <rgbColor rgb="00808080"/>
      <rgbColor rgb="009999FF"/>
      <rgbColor rgb="00993366"/>
      <rgbColor rgb="00F2F2F2"/>
      <rgbColor rgb="00CCFFFF"/>
      <rgbColor rgb="00660066"/>
      <rgbColor rgb="00FF8080"/>
      <rgbColor rgb="000066CC"/>
      <rgbColor rgb="00C5E0B4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E2F0D9"/>
      <rgbColor rgb="00FFFF99"/>
      <rgbColor rgb="0099CCFF"/>
      <rgbColor rgb="00FF99CC"/>
      <rgbColor rgb="00CC99FF"/>
      <rgbColor rgb="00F4B183"/>
      <rgbColor rgb="003366FF"/>
      <rgbColor rgb="0033CCCC"/>
      <rgbColor rgb="0099CC00"/>
      <rgbColor rgb="00FFCC00"/>
      <rgbColor rgb="00FF9900"/>
      <rgbColor rgb="00FF6600"/>
      <rgbColor rgb="00666699"/>
      <rgbColor rgb="0070AD47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4" Type="http://schemas.openxmlformats.org/officeDocument/2006/relationships/sharedStrings" Target="sharedStrings.xml"/><Relationship Id="rId13" Type="http://schemas.openxmlformats.org/officeDocument/2006/relationships/styles" Target="styles.xml"/><Relationship Id="rId12" Type="http://schemas.openxmlformats.org/officeDocument/2006/relationships/theme" Target="theme/theme1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ables/table1.xml><?xml version="1.0" encoding="utf-8"?>
<table xmlns="http://schemas.openxmlformats.org/spreadsheetml/2006/main" id="1" name="CITL" displayName="CITL" ref="F15:G20" totalsRowShown="0">
  <autoFilter ref="F15:G20"/>
  <tableColumns count="2">
    <tableColumn id="1" name="Descrição" dataDxfId="0"/>
    <tableColumn id="2" name="Percentual" dataDxfId="1"/>
  </tableColumns>
  <tableStyleInfo showFirstColumn="0" showLastColumn="0" showRowStripes="1" showColumnStripes="0"/>
</table>
</file>

<file path=xl/tables/table10.xml><?xml version="1.0" encoding="utf-8"?>
<table xmlns="http://schemas.openxmlformats.org/spreadsheetml/2006/main" id="16" name="ResumoPosto" displayName="ResumoPosto" ref="A140:D148" totalsRowShown="0">
  <autoFilter ref="A140:D148"/>
  <tableColumns count="4">
    <tableColumn id="1" name="Item" dataDxfId="30"/>
    <tableColumn id="2" name="Mão de obra vinculada à execução contratual" dataDxfId="31"/>
    <tableColumn id="3" name="-" dataDxfId="32"/>
    <tableColumn id="4" name="Valor" dataDxfId="33"/>
  </tableColumns>
  <tableStyleInfo showFirstColumn="0" showLastColumn="0" showRowStripes="1" showColumnStripes="0"/>
</table>
</file>

<file path=xl/tables/table11.xml><?xml version="1.0" encoding="utf-8"?>
<table xmlns="http://schemas.openxmlformats.org/spreadsheetml/2006/main" id="18" name="Submódulo2.1" displayName="Submódulo2.1" ref="A21:D24" totalsRowCount="1">
  <autoFilter ref="A21:D23"/>
  <tableColumns count="4">
    <tableColumn id="1" name="2.1" dataDxfId="34"/>
    <tableColumn id="2" name="13º (décimo terceiro) Salário, Férias e Adicional de Férias" dataDxfId="35"/>
    <tableColumn id="3" name="Comentário" dataDxfId="36"/>
    <tableColumn id="4" name="Valor" dataDxfId="37"/>
  </tableColumns>
  <tableStyleInfo showFirstColumn="0" showLastColumn="0" showRowStripes="1" showColumnStripes="0"/>
</table>
</file>

<file path=xl/tables/table12.xml><?xml version="1.0" encoding="utf-8"?>
<table xmlns="http://schemas.openxmlformats.org/spreadsheetml/2006/main" id="20" name="Submódulo2.2" displayName="Submódulo2.2" ref="A32:D41" totalsRowCount="1">
  <autoFilter ref="A32:D40"/>
  <tableColumns count="4">
    <tableColumn id="1" name="2.2" dataDxfId="38"/>
    <tableColumn id="2" name="GPS, FGTS e outras contribuições" dataDxfId="39"/>
    <tableColumn id="3" name="Percentual" dataDxfId="40"/>
    <tableColumn id="4" name="Valor " dataDxfId="41"/>
  </tableColumns>
  <tableStyleInfo showFirstColumn="0" showLastColumn="0" showRowStripes="1" showColumnStripes="0"/>
</table>
</file>

<file path=xl/tables/table13.xml><?xml version="1.0" encoding="utf-8"?>
<table xmlns="http://schemas.openxmlformats.org/spreadsheetml/2006/main" id="22" name="Submódulo2.3" displayName="Submódulo2.3" ref="A48:D53" totalsRowCount="1">
  <autoFilter ref="A48:D52"/>
  <tableColumns count="4">
    <tableColumn id="1" name="2.3" dataDxfId="42"/>
    <tableColumn id="2" name="Benefícios Mensais e Diários" dataDxfId="43"/>
    <tableColumn id="3" name="Comentário" dataDxfId="44"/>
    <tableColumn id="4" name="Valor" dataDxfId="45"/>
  </tableColumns>
  <tableStyleInfo showFirstColumn="0" showLastColumn="0" showRowStripes="1" showColumnStripes="0"/>
</table>
</file>

<file path=xl/tables/table14.xml><?xml version="1.0" encoding="utf-8"?>
<table xmlns="http://schemas.openxmlformats.org/spreadsheetml/2006/main" id="24" name="Submódulo4.1" displayName="Submódulo4.1" ref="A88:D95" totalsRowCount="1">
  <autoFilter ref="A88:D94"/>
  <tableColumns count="4">
    <tableColumn id="1" name="4.1" dataDxfId="46"/>
    <tableColumn id="2" name="Substituto nas Ausências Legais" dataDxfId="47"/>
    <tableColumn id="3" name="Dias de ausência" dataDxfId="48"/>
    <tableColumn id="4" name="Valor" dataDxfId="49"/>
  </tableColumns>
  <tableStyleInfo showFirstColumn="0" showLastColumn="0" showRowStripes="1" showColumnStripes="0"/>
</table>
</file>

<file path=xl/tables/table15.xml><?xml version="1.0" encoding="utf-8"?>
<table xmlns="http://schemas.openxmlformats.org/spreadsheetml/2006/main" id="26" name="Submódulo4.2" displayName="Submódulo4.2" ref="A103:D105" totalsRowCount="1">
  <autoFilter ref="A103:D104"/>
  <tableColumns count="4">
    <tableColumn id="1" name="4.2" dataDxfId="50"/>
    <tableColumn id="2" name="Substituto na Intrajornada " dataDxfId="51"/>
    <tableColumn id="3" name="Comentário" dataDxfId="52"/>
    <tableColumn id="4" name="Valor" dataDxfId="53"/>
  </tableColumns>
  <tableStyleInfo showFirstColumn="0" showLastColumn="0" showRowStripes="1" showColumnStripes="0"/>
</table>
</file>

<file path=xl/tables/table16.xml><?xml version="1.0" encoding="utf-8"?>
<table xmlns="http://schemas.openxmlformats.org/spreadsheetml/2006/main" id="28" name="Table4" displayName="Table4" ref="A2:D7" totalsRowShown="0">
  <tableColumns count="4">
    <tableColumn id="1" name="Item" dataDxfId="54"/>
    <tableColumn id="2" name="Descrição" dataDxfId="55"/>
    <tableColumn id="3" name="Comentário" dataDxfId="56"/>
    <tableColumn id="4" name="Valor" dataDxfId="57"/>
  </tableColumns>
  <tableStyleInfo showFirstColumn="0" showLastColumn="0" showRowStripes="1" showColumnStripes="0"/>
</table>
</file>

<file path=xl/tables/table17.xml><?xml version="1.0" encoding="utf-8"?>
<table xmlns="http://schemas.openxmlformats.org/spreadsheetml/2006/main" id="32" name="Table8" displayName="Table8" ref="A27:D29" totalsRowShown="0">
  <autoFilter ref="A27:D29"/>
  <tableColumns count="4">
    <tableColumn id="1" name="Item" dataDxfId="58"/>
    <tableColumn id="2" name="Rubrica" dataDxfId="59"/>
    <tableColumn id="3" name="Base de Cálculo" dataDxfId="60"/>
    <tableColumn id="4" name="Memória de Cálculo" dataDxfId="61"/>
  </tableColumns>
  <tableStyleInfo showFirstColumn="0" showLastColumn="0" showRowStripes="1" showColumnStripes="0"/>
</table>
</file>

<file path=xl/tables/table18.xml><?xml version="1.0" encoding="utf-8"?>
<table xmlns="http://schemas.openxmlformats.org/spreadsheetml/2006/main" id="33" name="Table839" displayName="Table839" ref="A44:D45" totalsRowShown="0">
  <autoFilter ref="A44:D45"/>
  <tableColumns count="4">
    <tableColumn id="1" name="Item" dataDxfId="62"/>
    <tableColumn id="2" name="Rubrica" dataDxfId="63"/>
    <tableColumn id="3" name="Base de Cálculo" dataDxfId="64"/>
    <tableColumn id="4" name="Memória de Cálculo" dataDxfId="65"/>
  </tableColumns>
  <tableStyleInfo showFirstColumn="0" showLastColumn="0" showRowStripes="1" showColumnStripes="0"/>
</table>
</file>

<file path=xl/tables/table19.xml><?xml version="1.0" encoding="utf-8"?>
<table xmlns="http://schemas.openxmlformats.org/spreadsheetml/2006/main" id="34" name="Table842" displayName="Table842" ref="A56:D58" totalsRowShown="0">
  <autoFilter ref="A56:D58"/>
  <tableColumns count="4">
    <tableColumn id="1" name="Item" dataDxfId="66"/>
    <tableColumn id="2" name="Rubrica" dataDxfId="67"/>
    <tableColumn id="3" name="Base de Cálculo" dataDxfId="68"/>
    <tableColumn id="4" name="Memória de Cálculo" dataDxfId="69"/>
  </tableColumns>
  <tableStyleInfo showFirstColumn="0" showLastColumn="0" showRowStripes="1" showColumnStripes="0"/>
</table>
</file>

<file path=xl/tables/table2.xml><?xml version="1.0" encoding="utf-8"?>
<table xmlns="http://schemas.openxmlformats.org/spreadsheetml/2006/main" id="2" name="DadosDesligamento" displayName="DadosDesligamento" ref="F9:G12" totalsRowShown="0">
  <autoFilter ref="F9:G12"/>
  <tableColumns count="2">
    <tableColumn id="1" name="Tipos" dataDxfId="2"/>
    <tableColumn id="2" name="Percentual" dataDxfId="3"/>
  </tableColumns>
  <tableStyleInfo showFirstColumn="0" showLastColumn="0" showRowStripes="1" showColumnStripes="0"/>
</table>
</file>

<file path=xl/tables/table20.xml><?xml version="1.0" encoding="utf-8"?>
<table xmlns="http://schemas.openxmlformats.org/spreadsheetml/2006/main" id="35" name="Table84237" displayName="Table84237" ref="A78:D84" totalsRowShown="0">
  <autoFilter ref="A78:D84"/>
  <tableColumns count="4">
    <tableColumn id="1" name="Item" dataDxfId="70"/>
    <tableColumn id="2" name="Rubrica" dataDxfId="71"/>
    <tableColumn id="3" name="Base de Cálculo" dataDxfId="72"/>
    <tableColumn id="4" name="Memória de Cálculo" dataDxfId="73"/>
  </tableColumns>
  <tableStyleInfo showFirstColumn="0" showLastColumn="0" showRowStripes="1" showColumnStripes="0"/>
</table>
</file>

<file path=xl/tables/table21.xml><?xml version="1.0" encoding="utf-8"?>
<table xmlns="http://schemas.openxmlformats.org/spreadsheetml/2006/main" id="36" name="Table84238" displayName="Table84238" ref="A98:D100" totalsRowShown="0">
  <autoFilter ref="A98:D100"/>
  <tableColumns count="4">
    <tableColumn id="1" name="Item" dataDxfId="74"/>
    <tableColumn id="2" name="Rubrica" dataDxfId="75"/>
    <tableColumn id="3" name="Base de Cálculo" dataDxfId="76"/>
    <tableColumn id="4" name="Memória de Cálculo" dataDxfId="77"/>
  </tableColumns>
  <tableStyleInfo showFirstColumn="0" showLastColumn="0" showRowStripes="1" showColumnStripes="0"/>
</table>
</file>

<file path=xl/tables/table22.xml><?xml version="1.0" encoding="utf-8"?>
<table xmlns="http://schemas.openxmlformats.org/spreadsheetml/2006/main" id="37" name="Table8423851" displayName="Table8423851" ref="A122:D126" totalsRowShown="0">
  <autoFilter ref="A122:D126"/>
  <tableColumns count="4">
    <tableColumn id="1" name="Item" dataDxfId="78"/>
    <tableColumn id="2" name="Rubrica" dataDxfId="79"/>
    <tableColumn id="3" name="Base de Cálculo" dataDxfId="80"/>
    <tableColumn id="4" name="Memória de Cálculo" dataDxfId="81"/>
  </tableColumns>
  <tableStyleInfo showFirstColumn="0" showLastColumn="0" showRowStripes="1" showColumnStripes="0"/>
</table>
</file>

<file path=xl/tables/table23.xml><?xml version="1.0" encoding="utf-8"?>
<table xmlns="http://schemas.openxmlformats.org/spreadsheetml/2006/main" id="103" name="Módulo358_57104" displayName="Módulo358_57104" ref="A76:D83" totalsRowCount="1">
  <autoFilter ref="A76:D82"/>
  <tableColumns count="4">
    <tableColumn id="1" name="3" totalsRowLabel="Total" dataDxfId="82"/>
    <tableColumn id="2" name="Provisão para Rescisão" dataDxfId="83"/>
    <tableColumn id="3" name="Percentual" totalsRowFunction="custom">
      <totalsRowFormula>SUM(C77:C82)</totalsRowFormula>
    </tableColumn>
    <tableColumn id="4" name="Valor" totalsRowFunction="custom">
      <totalsRowFormula>TRUNC((SUM(D77:D82)),2)</totalsRowFormula>
    </tableColumn>
  </tableColumns>
  <tableStyleInfo showFirstColumn="0" showLastColumn="0" showRowStripes="1" showColumnStripes="0"/>
</table>
</file>

<file path=xl/tables/table24.xml><?xml version="1.0" encoding="utf-8"?>
<table xmlns="http://schemas.openxmlformats.org/spreadsheetml/2006/main" id="104" name="Módulo663_59105" displayName="Módulo663_59105" ref="A129:D136" totalsRowCount="1">
  <tableColumns count="4">
    <tableColumn id="1" name="6" totalsRowLabel="Total" dataDxfId="84"/>
    <tableColumn id="2" name="Custos Indiretos, Tributos e Lucro" dataDxfId="85"/>
    <tableColumn id="3" name="Percentual" dataDxfId="86"/>
    <tableColumn id="4" name="Valor" totalsRowFunction="custom">
      <totalsRowFormula>TRUNC(SUM(D130:D132),2)</totalsRowFormula>
    </tableColumn>
  </tableColumns>
  <tableStyleInfo showFirstColumn="0" showLastColumn="0" showRowStripes="1" showColumnStripes="0"/>
</table>
</file>

<file path=xl/tables/table25.xml><?xml version="1.0" encoding="utf-8"?>
<table xmlns="http://schemas.openxmlformats.org/spreadsheetml/2006/main" id="105" name="Table452_56106" displayName="Table452_56106" ref="A16:D21" totalsRowShown="0">
  <tableColumns count="4">
    <tableColumn id="1" name="Item" dataDxfId="87"/>
    <tableColumn id="2" name="Descrição" dataDxfId="88"/>
    <tableColumn id="3" name="Comentário" dataDxfId="89"/>
    <tableColumn id="4" name="Valor" dataDxfId="90"/>
  </tableColumns>
  <tableStyleInfo showFirstColumn="0" showLastColumn="0" showRowStripes="1" showColumnStripes="0"/>
</table>
</file>

<file path=xl/tables/table26.xml><?xml version="1.0" encoding="utf-8"?>
<table xmlns="http://schemas.openxmlformats.org/spreadsheetml/2006/main" id="106" name="Submódulo4.260_55107" displayName="Submódulo4.260_55107" ref="A102:D104" totalsRowCount="1">
  <autoFilter ref="A102:D103"/>
  <tableColumns count="4">
    <tableColumn id="1" name="4.2" totalsRowLabel="Total" dataDxfId="91"/>
    <tableColumn id="2" name="Substituto na Intrajornada " dataDxfId="92"/>
    <tableColumn id="3" name="Comentário" dataDxfId="93"/>
    <tableColumn id="4" name="Valor" totalsRowFunction="custom">
      <totalsRowFormula>D103</totalsRowFormula>
    </tableColumn>
  </tableColumns>
  <tableStyleInfo showFirstColumn="0" showLastColumn="0" showRowStripes="1" showColumnStripes="0"/>
</table>
</file>

<file path=xl/tables/table27.xml><?xml version="1.0" encoding="utf-8"?>
<table xmlns="http://schemas.openxmlformats.org/spreadsheetml/2006/main" id="107" name="ResumoPosto64_64108" displayName="ResumoPosto64_64108" ref="A140:D148" totalsRowShown="0">
  <autoFilter ref="A140:D148"/>
  <tableColumns count="4">
    <tableColumn id="1" name="Item" dataDxfId="94"/>
    <tableColumn id="2" name="Mão de obra vinculada à execução contratual" dataDxfId="95"/>
    <tableColumn id="3" name="-" dataDxfId="96"/>
    <tableColumn id="4" name="Valor" dataDxfId="97"/>
  </tableColumns>
  <tableStyleInfo showFirstColumn="0" showLastColumn="0" showRowStripes="1" showColumnStripes="0"/>
</table>
</file>

<file path=xl/tables/table28.xml><?xml version="1.0" encoding="utf-8"?>
<table xmlns="http://schemas.openxmlformats.org/spreadsheetml/2006/main" id="108" name="Módulo153_52109" displayName="Módulo153_52109" ref="A24:D31" totalsRowCount="1">
  <autoFilter ref="A24:D30"/>
  <tableColumns count="4">
    <tableColumn id="1" name="1" totalsRowLabel="Total" dataDxfId="98"/>
    <tableColumn id="2" name="Composição da Remuneração" dataDxfId="99"/>
    <tableColumn id="3" name="Comentário" dataDxfId="100"/>
    <tableColumn id="4" name="Valor" totalsRowFunction="custom">
      <totalsRowFormula>TRUNC((SUM(D25:D30)),2)</totalsRowFormula>
    </tableColumn>
  </tableColumns>
  <tableStyleInfo showFirstColumn="0" showLastColumn="0" showRowStripes="1" showColumnStripes="0"/>
</table>
</file>

<file path=xl/tables/table29.xml><?xml version="1.0" encoding="utf-8"?>
<table xmlns="http://schemas.openxmlformats.org/spreadsheetml/2006/main" id="109" name="Submódulo4.159_54110" displayName="Submódulo4.159_54110" ref="A92:D99" totalsRowCount="1">
  <autoFilter ref="A92:D98"/>
  <tableColumns count="4">
    <tableColumn id="1" name="4.1" totalsRowLabel="Total" dataDxfId="101"/>
    <tableColumn id="2" name="Substituto nas Ausências Legais" dataDxfId="102"/>
    <tableColumn id="3" name="Percentual" totalsRowFunction="custom">
      <totalsRowFormula>SUM(C93:C98)</totalsRowFormula>
    </tableColumn>
    <tableColumn id="4" name="Valor" totalsRowFunction="custom">
      <totalsRowFormula>TRUNC((SUM(D93:D98)),2)</totalsRowFormula>
    </tableColumn>
  </tableColumns>
  <tableStyleInfo showFirstColumn="0" showLastColumn="0" showRowStripes="1" showColumnStripes="0"/>
</table>
</file>

<file path=xl/tables/table3.xml><?xml version="1.0" encoding="utf-8"?>
<table xmlns="http://schemas.openxmlformats.org/spreadsheetml/2006/main" id="3" name="DadosGerais" displayName="DadosGerais" ref="F2:G6" totalsRowShown="0">
  <autoFilter ref="F2:G6"/>
  <tableColumns count="2">
    <tableColumn id="1" name="Descrição" dataDxfId="4"/>
    <tableColumn id="2" name="Valor" dataDxfId="5"/>
  </tableColumns>
  <tableStyleInfo showFirstColumn="0" showLastColumn="0" showRowStripes="1" showColumnStripes="0"/>
</table>
</file>

<file path=xl/tables/table30.xml><?xml version="1.0" encoding="utf-8"?>
<table xmlns="http://schemas.openxmlformats.org/spreadsheetml/2006/main" id="110" name="Submódulo2.154_61111" displayName="Submódulo2.154_61111" ref="A36:D39" totalsRowCount="1">
  <autoFilter ref="A36:D38"/>
  <tableColumns count="4">
    <tableColumn id="1" name="2.1" totalsRowLabel="Total" dataDxfId="103"/>
    <tableColumn id="2" name="13º (décimo terceiro) Salário, Férias e Adicional de Férias" dataDxfId="104"/>
    <tableColumn id="3" name="Percentual" dataDxfId="105"/>
    <tableColumn id="4" name="Valor" totalsRowFunction="custom">
      <totalsRowFormula>TRUNC((SUM(D37:D38)),2)</totalsRowFormula>
    </tableColumn>
  </tableColumns>
  <tableStyleInfo showFirstColumn="0" showLastColumn="0" showRowStripes="1" showColumnStripes="0"/>
</table>
</file>

<file path=xl/tables/table31.xml><?xml version="1.0" encoding="utf-8"?>
<table xmlns="http://schemas.openxmlformats.org/spreadsheetml/2006/main" id="111" name="Submódulo2.356_53112" displayName="Submódulo2.356_53112" ref="A58:D66" totalsRowCount="1">
  <autoFilter ref="A58:D65"/>
  <tableColumns count="4">
    <tableColumn id="1" name="2.3" totalsRowLabel="Total" dataDxfId="106"/>
    <tableColumn id="2" name="Benefícios Mensais e Diários" dataDxfId="107"/>
    <tableColumn id="3" name="Comentário" dataDxfId="108"/>
    <tableColumn id="4" name="Valor" totalsRowFunction="custom">
      <totalsRowFormula>TRUNC((SUM(D59:D65)),2)</totalsRowFormula>
    </tableColumn>
  </tableColumns>
  <tableStyleInfo showFirstColumn="0" showLastColumn="0" showRowStripes="1" showColumnStripes="0"/>
</table>
</file>

<file path=xl/tables/table32.xml><?xml version="1.0" encoding="utf-8"?>
<table xmlns="http://schemas.openxmlformats.org/spreadsheetml/2006/main" id="112" name="ResumoMódulo257_60113" displayName="ResumoMódulo257_60113" ref="A69:D73" totalsRowCount="1">
  <autoFilter ref="A69:D72"/>
  <tableColumns count="4">
    <tableColumn id="1" name="2" totalsRowLabel="Total" dataDxfId="109"/>
    <tableColumn id="2" name="Encargos e Benefícios Anuais, Mensais e Diários" dataDxfId="110"/>
    <tableColumn id="3" name="Comentário" dataDxfId="111"/>
    <tableColumn id="4" name="Valor" totalsRowFunction="custom">
      <totalsRowFormula>TRUNC((SUM(D70:D72)),2)</totalsRowFormula>
    </tableColumn>
  </tableColumns>
  <tableStyleInfo showFirstColumn="0" showLastColumn="0" showRowStripes="1" showColumnStripes="0"/>
</table>
</file>

<file path=xl/tables/table33.xml><?xml version="1.0" encoding="utf-8"?>
<table xmlns="http://schemas.openxmlformats.org/spreadsheetml/2006/main" id="113" name="Submódulo2.255_63114" displayName="Submódulo2.255_63114" ref="A46:D55" totalsRowCount="1">
  <autoFilter ref="A46:D54"/>
  <tableColumns count="4">
    <tableColumn id="1" name="2.2" totalsRowLabel="Total" dataDxfId="112"/>
    <tableColumn id="2" name="GPS, FGTS e outras contribuições" dataDxfId="113"/>
    <tableColumn id="3" name="Percentual" totalsRowFunction="custom">
      <totalsRowFormula>SUM(C47:C54)</totalsRowFormula>
    </tableColumn>
    <tableColumn id="4" name="Valor " totalsRowFunction="custom">
      <totalsRowFormula>TRUNC(SUM(D47:D54),2)</totalsRowFormula>
    </tableColumn>
  </tableColumns>
  <tableStyleInfo showFirstColumn="0" showLastColumn="0" showRowStripes="1" showColumnStripes="0"/>
</table>
</file>

<file path=xl/tables/table34.xml><?xml version="1.0" encoding="utf-8"?>
<table xmlns="http://schemas.openxmlformats.org/spreadsheetml/2006/main" id="114" name="ResumoMódulo461_62115" displayName="ResumoMódulo461_62115" ref="A107:D110" totalsRowCount="1">
  <autoFilter ref="A107:D109"/>
  <tableColumns count="4">
    <tableColumn id="1" name="4" totalsRowLabel="Total" dataDxfId="114"/>
    <tableColumn id="2" name="Custo de Reposição do Profissional Ausente" dataDxfId="115"/>
    <tableColumn id="3" name="Comentário" totalsRowLabel="*Nota: Se o titular USUFRUIR do descanso intrajornada, o total é o somatório dos subitens 4.1 e 4.2" dataDxfId="116"/>
    <tableColumn id="4" name="Valor" totalsRowFunction="custom">
      <totalsRowFormula>TRUNC((SUM(D108:D109)),2)</totalsRowFormula>
    </tableColumn>
  </tableColumns>
  <tableStyleInfo showFirstColumn="0" showLastColumn="0" showRowStripes="1" showColumnStripes="0"/>
</table>
</file>

<file path=xl/tables/table35.xml><?xml version="1.0" encoding="utf-8"?>
<table xmlns="http://schemas.openxmlformats.org/spreadsheetml/2006/main" id="115" name="Módulo562_58116" displayName="Módulo562_58116" ref="A113:D119" totalsRowCount="1">
  <autoFilter ref="A113:D118"/>
  <tableColumns count="4">
    <tableColumn id="1" name="5" totalsRowLabel="Total" dataDxfId="117"/>
    <tableColumn id="2" name="Insumos Diversos" dataDxfId="118"/>
    <tableColumn id="3" name="Comentário" dataDxfId="119"/>
    <tableColumn id="4" name="Valor" totalsRowFunction="custom">
      <totalsRowFormula>TRUNC(SUM(D114:D118),2)</totalsRowFormula>
    </tableColumn>
  </tableColumns>
  <tableStyleInfo showFirstColumn="0" showLastColumn="0" showRowStripes="1" showColumnStripes="0"/>
</table>
</file>

<file path=xl/tables/table36.xml><?xml version="1.0" encoding="utf-8"?>
<table xmlns="http://schemas.openxmlformats.org/spreadsheetml/2006/main" id="67" name="Módulo562_5811668" displayName="Módulo562_5811668" ref="A113:D119" totalsRowCount="1">
  <autoFilter ref="A113:D118"/>
  <tableColumns count="4">
    <tableColumn id="1" name="5" totalsRowLabel="Total"/>
    <tableColumn id="2" name="Insumos Diversos"/>
    <tableColumn id="3" name="Comentário"/>
    <tableColumn id="4" name="Valor" totalsRowFunction="sum" dataDxfId="120"/>
  </tableColumns>
  <tableStyleInfo showFirstColumn="0" showLastColumn="0" showRowStripes="1" showColumnStripes="0"/>
</table>
</file>

<file path=xl/tables/table37.xml><?xml version="1.0" encoding="utf-8"?>
<table xmlns="http://schemas.openxmlformats.org/spreadsheetml/2006/main" id="68" name="ResumoMódulo461_6211569" displayName="ResumoMódulo461_6211569" ref="A107:D110" totalsRowCount="1">
  <autoFilter ref="A107:D109"/>
  <tableColumns count="4">
    <tableColumn id="1" name="4" totalsRowLabel="Total"/>
    <tableColumn id="2" name="Custo de Reposição do Profissional Ausente"/>
    <tableColumn id="3" name="Comentário" totalsRowLabel="*Nota: Se o titular USUFRUIR do descanso intrajornada, o total é o somatório dos subitens 4.1 e 4.2"/>
    <tableColumn id="4" name="Valor" totalsRowFunction="custom">
      <totalsRowFormula>TRUNC((SUM(D108:D109)),2)</totalsRowFormula>
    </tableColumn>
  </tableColumns>
  <tableStyleInfo showFirstColumn="0" showLastColumn="0" showRowStripes="1" showColumnStripes="0"/>
</table>
</file>

<file path=xl/tables/table38.xml><?xml version="1.0" encoding="utf-8"?>
<table xmlns="http://schemas.openxmlformats.org/spreadsheetml/2006/main" id="69" name="Table452_5610670" displayName="Table452_5610670" ref="A16:D21" totalsRowShown="0">
  <tableColumns count="4">
    <tableColumn id="1" name="Item"/>
    <tableColumn id="2" name="Descrição"/>
    <tableColumn id="3" name="Comentário"/>
    <tableColumn id="4" name="Valor"/>
  </tableColumns>
  <tableStyleInfo showFirstColumn="0" showLastColumn="0" showRowStripes="1" showColumnStripes="0"/>
</table>
</file>

<file path=xl/tables/table39.xml><?xml version="1.0" encoding="utf-8"?>
<table xmlns="http://schemas.openxmlformats.org/spreadsheetml/2006/main" id="70" name="ResumoPosto64_6410871" displayName="ResumoPosto64_6410871" ref="A140:D148" totalsRowShown="0">
  <autoFilter ref="A140:D148"/>
  <tableColumns count="4">
    <tableColumn id="1" name="Item"/>
    <tableColumn id="2" name="Mão de obra vinculada à execução contratual"/>
    <tableColumn id="3" name="-"/>
    <tableColumn id="4" name="Valor"/>
  </tableColumns>
  <tableStyleInfo showFirstColumn="0" showLastColumn="0" showRowStripes="1" showColumnStripes="0"/>
</table>
</file>

<file path=xl/tables/table4.xml><?xml version="1.0" encoding="utf-8"?>
<table xmlns="http://schemas.openxmlformats.org/spreadsheetml/2006/main" id="4" name="Módulo1" displayName="Módulo1" ref="A10:D17" totalsRowCount="1">
  <autoFilter ref="A10:D16"/>
  <tableColumns count="4">
    <tableColumn id="1" name="1" dataDxfId="6"/>
    <tableColumn id="2" name="Composição da Remuneração" dataDxfId="7"/>
    <tableColumn id="3" name="Comentário" dataDxfId="8"/>
    <tableColumn id="4" name="Valor" dataDxfId="9"/>
  </tableColumns>
  <tableStyleInfo showFirstColumn="0" showLastColumn="0" showRowStripes="1" showColumnStripes="0"/>
</table>
</file>

<file path=xl/tables/table40.xml><?xml version="1.0" encoding="utf-8"?>
<table xmlns="http://schemas.openxmlformats.org/spreadsheetml/2006/main" id="71" name="Módulo153_5210972" displayName="Módulo153_5210972" ref="A24:D31" totalsRowCount="1">
  <autoFilter ref="A24:D30"/>
  <tableColumns count="4">
    <tableColumn id="1" name="1" totalsRowLabel="Total"/>
    <tableColumn id="2" name="Composição da Remuneração"/>
    <tableColumn id="3" name="Comentário"/>
    <tableColumn id="4" name="Valor" totalsRowFunction="custom">
      <totalsRowFormula>TRUNC((SUM(D25:D30)),2)</totalsRowFormula>
    </tableColumn>
  </tableColumns>
  <tableStyleInfo showFirstColumn="0" showLastColumn="0" showRowStripes="1" showColumnStripes="0"/>
</table>
</file>

<file path=xl/tables/table41.xml><?xml version="1.0" encoding="utf-8"?>
<table xmlns="http://schemas.openxmlformats.org/spreadsheetml/2006/main" id="72" name="Submódulo4.260_5510773" displayName="Submódulo4.260_5510773" ref="A102:D104" totalsRowCount="1">
  <autoFilter ref="A102:D103"/>
  <tableColumns count="4">
    <tableColumn id="1" name="4.2" totalsRowLabel="Total"/>
    <tableColumn id="2" name="Substituto na Intrajornada "/>
    <tableColumn id="3" name="Comentário"/>
    <tableColumn id="4" name="Valor" totalsRowFunction="custom">
      <totalsRowFormula>D103</totalsRowFormula>
    </tableColumn>
  </tableColumns>
  <tableStyleInfo showFirstColumn="0" showLastColumn="0" showRowStripes="1" showColumnStripes="0"/>
</table>
</file>

<file path=xl/tables/table42.xml><?xml version="1.0" encoding="utf-8"?>
<table xmlns="http://schemas.openxmlformats.org/spreadsheetml/2006/main" id="73" name="Submódulo2.154_6111174" displayName="Submódulo2.154_6111174" ref="A36:D39" totalsRowCount="1">
  <autoFilter ref="A36:D38"/>
  <tableColumns count="4">
    <tableColumn id="1" name="2.1" totalsRowLabel="Total"/>
    <tableColumn id="2" name="13º (décimo terceiro) Salário, Férias e Adicional de Férias"/>
    <tableColumn id="3" name="Percentual"/>
    <tableColumn id="4" name="Valor" totalsRowFunction="custom">
      <totalsRowFormula>TRUNC((SUM(D37:D38)),2)</totalsRowFormula>
    </tableColumn>
  </tableColumns>
  <tableStyleInfo showFirstColumn="0" showLastColumn="0" showRowStripes="1" showColumnStripes="0"/>
</table>
</file>

<file path=xl/tables/table43.xml><?xml version="1.0" encoding="utf-8"?>
<table xmlns="http://schemas.openxmlformats.org/spreadsheetml/2006/main" id="74" name="Submódulo4.159_5411075" displayName="Submódulo4.159_5411075" ref="A92:D99" totalsRowCount="1">
  <autoFilter ref="A92:D98"/>
  <tableColumns count="4">
    <tableColumn id="1" name="4.1" totalsRowLabel="Total"/>
    <tableColumn id="2" name="Substituto nas Ausências Legais"/>
    <tableColumn id="3" name="Percentual" totalsRowFunction="custom">
      <totalsRowFormula>SUM(C93:C98)</totalsRowFormula>
    </tableColumn>
    <tableColumn id="4" name="Valor" totalsRowFunction="custom">
      <totalsRowFormula>TRUNC((SUM(D93:D98)),2)</totalsRowFormula>
    </tableColumn>
  </tableColumns>
  <tableStyleInfo showFirstColumn="0" showLastColumn="0" showRowStripes="1" showColumnStripes="0"/>
</table>
</file>

<file path=xl/tables/table44.xml><?xml version="1.0" encoding="utf-8"?>
<table xmlns="http://schemas.openxmlformats.org/spreadsheetml/2006/main" id="75" name="Submódulo2.356_5311276" displayName="Submódulo2.356_5311276" ref="A58:D66" totalsRowCount="1">
  <autoFilter ref="A58:D65"/>
  <tableColumns count="4">
    <tableColumn id="1" name="2.3" totalsRowLabel="Total"/>
    <tableColumn id="2" name="Benefícios Mensais e Diários"/>
    <tableColumn id="3" name="Comentário"/>
    <tableColumn id="4" name="Valor" totalsRowFunction="custom">
      <totalsRowFormula>TRUNC((SUM(D59:D65)),2)</totalsRowFormula>
    </tableColumn>
  </tableColumns>
  <tableStyleInfo showFirstColumn="0" showLastColumn="0" showRowStripes="1" showColumnStripes="0"/>
</table>
</file>

<file path=xl/tables/table45.xml><?xml version="1.0" encoding="utf-8"?>
<table xmlns="http://schemas.openxmlformats.org/spreadsheetml/2006/main" id="76" name="Módulo663_5910577" displayName="Módulo663_5910577" ref="A129:D136" totalsRowCount="1">
  <tableColumns count="4">
    <tableColumn id="1" name="6" totalsRowLabel="Total"/>
    <tableColumn id="2" name="Custos Indiretos, Tributos e Lucro"/>
    <tableColumn id="3" name="Percentual"/>
    <tableColumn id="4" name="Valor" totalsRowFunction="custom">
      <totalsRowFormula>TRUNC(SUM(D130:D132),2)</totalsRowFormula>
    </tableColumn>
  </tableColumns>
  <tableStyleInfo showFirstColumn="0" showLastColumn="0" showRowStripes="1" showColumnStripes="0"/>
</table>
</file>

<file path=xl/tables/table46.xml><?xml version="1.0" encoding="utf-8"?>
<table xmlns="http://schemas.openxmlformats.org/spreadsheetml/2006/main" id="90" name="Módulo358_5710491" displayName="Módulo358_5710491" ref="A76:D83" totalsRowCount="1">
  <autoFilter ref="A76:D82"/>
  <tableColumns count="4">
    <tableColumn id="1" name="3" totalsRowLabel="Total"/>
    <tableColumn id="2" name="Provisão para Rescisão"/>
    <tableColumn id="3" name="Percentual" totalsRowFunction="custom">
      <totalsRowFormula>SUM(C77:C82)</totalsRowFormula>
    </tableColumn>
    <tableColumn id="4" name="Valor" totalsRowFunction="custom">
      <totalsRowFormula>TRUNC((SUM(D77:D82)),2)</totalsRowFormula>
    </tableColumn>
  </tableColumns>
  <tableStyleInfo showFirstColumn="0" showLastColumn="0" showRowStripes="1" showColumnStripes="0"/>
</table>
</file>

<file path=xl/tables/table47.xml><?xml version="1.0" encoding="utf-8"?>
<table xmlns="http://schemas.openxmlformats.org/spreadsheetml/2006/main" id="91" name="Submódulo2.255_6311492" displayName="Submódulo2.255_6311492" ref="A46:D55" totalsRowCount="1">
  <autoFilter ref="A46:D54"/>
  <tableColumns count="4">
    <tableColumn id="1" name="2.2" totalsRowLabel="Total"/>
    <tableColumn id="2" name="GPS, FGTS e outras contribuições"/>
    <tableColumn id="3" name="Percentual" totalsRowFunction="custom">
      <totalsRowFormula>SUM(C47:C54)</totalsRowFormula>
    </tableColumn>
    <tableColumn id="4" name="Valor " totalsRowFunction="custom">
      <totalsRowFormula>TRUNC(SUM(D47:D54),2)</totalsRowFormula>
    </tableColumn>
  </tableColumns>
  <tableStyleInfo showFirstColumn="0" showLastColumn="0" showRowStripes="1" showColumnStripes="0"/>
</table>
</file>

<file path=xl/tables/table48.xml><?xml version="1.0" encoding="utf-8"?>
<table xmlns="http://schemas.openxmlformats.org/spreadsheetml/2006/main" id="92" name="ResumoMódulo257_6011393" displayName="ResumoMódulo257_6011393" ref="A69:D73" totalsRowCount="1">
  <autoFilter ref="A69:D72"/>
  <tableColumns count="4">
    <tableColumn id="1" name="2" totalsRowLabel="Total"/>
    <tableColumn id="2" name="Encargos e Benefícios Anuais, Mensais e Diários"/>
    <tableColumn id="3" name="Comentário"/>
    <tableColumn id="4" name="Valor" totalsRowFunction="custom">
      <totalsRowFormula>TRUNC((SUM(D70:D72)),2)</totalsRowFormula>
    </tableColumn>
  </tableColumns>
  <tableStyleInfo showFirstColumn="0" showLastColumn="0" showRowStripes="1" showColumnStripes="0"/>
</table>
</file>

<file path=xl/tables/table49.xml><?xml version="1.0" encoding="utf-8"?>
<table xmlns="http://schemas.openxmlformats.org/spreadsheetml/2006/main" id="38" name="Módulo153_39" displayName="Módulo153_39" ref="A24:D31" totalsRowCount="1">
  <autoFilter ref="A24:D30"/>
  <tableColumns count="4">
    <tableColumn id="1" name="1" totalsRowLabel="Total" dataDxfId="121"/>
    <tableColumn id="2" name="Composição da Remuneração" dataDxfId="122"/>
    <tableColumn id="3" name="Comentário" dataDxfId="123"/>
    <tableColumn id="4" name="Valor" totalsRowFunction="custom">
      <totalsRowFormula>TRUNC(SUM(D25:D30),2)</totalsRowFormula>
    </tableColumn>
  </tableColumns>
  <tableStyleInfo showFirstColumn="0" showLastColumn="0" showRowStripes="1" showColumnStripes="0"/>
</table>
</file>

<file path=xl/tables/table5.xml><?xml version="1.0" encoding="utf-8"?>
<table xmlns="http://schemas.openxmlformats.org/spreadsheetml/2006/main" id="6" name="Módulo3" displayName="Módulo3" ref="A68:D75" totalsRowCount="1">
  <autoFilter ref="A68:D74"/>
  <tableColumns count="4">
    <tableColumn id="1" name="3" dataDxfId="10"/>
    <tableColumn id="2" name="Provisão para Rescisão" dataDxfId="11"/>
    <tableColumn id="3" name="Comentário" dataDxfId="12"/>
    <tableColumn id="4" name="Valor" dataDxfId="13"/>
  </tableColumns>
  <tableStyleInfo showFirstColumn="0" showLastColumn="0" showRowStripes="1" showColumnStripes="0"/>
</table>
</file>

<file path=xl/tables/table50.xml><?xml version="1.0" encoding="utf-8"?>
<table xmlns="http://schemas.openxmlformats.org/spreadsheetml/2006/main" id="39" name="Submódulo2.356_40" displayName="Submódulo2.356_40" ref="A58:D66" totalsRowCount="1">
  <autoFilter ref="A58:D65"/>
  <tableColumns count="4">
    <tableColumn id="1" name="2.3" totalsRowLabel="Total" dataDxfId="124"/>
    <tableColumn id="2" name="Benefícios Mensais e Diários" dataDxfId="125"/>
    <tableColumn id="3" name="Comentário" dataDxfId="126"/>
    <tableColumn id="4" name="Valor" totalsRowFunction="custom">
      <totalsRowFormula>TRUNC((SUM(D59:D65)),2)</totalsRowFormula>
    </tableColumn>
  </tableColumns>
  <tableStyleInfo showFirstColumn="0" showLastColumn="0" showRowStripes="1" showColumnStripes="0"/>
</table>
</file>

<file path=xl/tables/table51.xml><?xml version="1.0" encoding="utf-8"?>
<table xmlns="http://schemas.openxmlformats.org/spreadsheetml/2006/main" id="40" name="Submódulo4.159_41" displayName="Submódulo4.159_41" ref="A92:D99" totalsRowCount="1">
  <autoFilter ref="A92:D98"/>
  <tableColumns count="4">
    <tableColumn id="1" name="4.1" totalsRowLabel="Total" dataDxfId="127"/>
    <tableColumn id="2" name="Substituto nas Ausências Legais" dataDxfId="128"/>
    <tableColumn id="3" name="Percentual" totalsRowFunction="custom">
      <totalsRowFormula>SUM(C93:C98)</totalsRowFormula>
    </tableColumn>
    <tableColumn id="4" name="Valor" totalsRowFunction="custom">
      <totalsRowFormula>TRUNC((SUM(D93:D98)),2)</totalsRowFormula>
    </tableColumn>
  </tableColumns>
  <tableStyleInfo showFirstColumn="0" showLastColumn="0" showRowStripes="1" showColumnStripes="0"/>
</table>
</file>

<file path=xl/tables/table52.xml><?xml version="1.0" encoding="utf-8"?>
<table xmlns="http://schemas.openxmlformats.org/spreadsheetml/2006/main" id="41" name="Submódulo4.260_42" displayName="Submódulo4.260_42" ref="A102:D104" totalsRowCount="1">
  <autoFilter ref="A102:D103"/>
  <tableColumns count="4">
    <tableColumn id="1" name="4.2" totalsRowLabel="Total" dataDxfId="129"/>
    <tableColumn id="2" name="Substituto na Intrajornada " dataDxfId="130"/>
    <tableColumn id="3" name="Comentário" dataDxfId="131"/>
    <tableColumn id="4" name="Valor" totalsRowFunction="custom">
      <totalsRowFormula>D103</totalsRowFormula>
    </tableColumn>
  </tableColumns>
  <tableStyleInfo showFirstColumn="0" showLastColumn="0" showRowStripes="1" showColumnStripes="0"/>
</table>
</file>

<file path=xl/tables/table53.xml><?xml version="1.0" encoding="utf-8"?>
<table xmlns="http://schemas.openxmlformats.org/spreadsheetml/2006/main" id="42" name="Table452_43" displayName="Table452_43" ref="A16:D21" totalsRowShown="0">
  <tableColumns count="4">
    <tableColumn id="1" name="Item" dataDxfId="132"/>
    <tableColumn id="2" name="Descrição" dataDxfId="133"/>
    <tableColumn id="3" name="Comentário" dataDxfId="134"/>
    <tableColumn id="4" name="Valor" dataDxfId="135"/>
  </tableColumns>
  <tableStyleInfo showFirstColumn="0" showLastColumn="0" showRowStripes="1" showColumnStripes="0"/>
</table>
</file>

<file path=xl/tables/table54.xml><?xml version="1.0" encoding="utf-8"?>
<table xmlns="http://schemas.openxmlformats.org/spreadsheetml/2006/main" id="43" name="Módulo358_44" displayName="Módulo358_44" ref="A76:D83" totalsRowCount="1">
  <autoFilter ref="A76:D82"/>
  <tableColumns count="4">
    <tableColumn id="1" name="3" totalsRowLabel="Total" dataDxfId="136"/>
    <tableColumn id="2" name="Provisão para Rescisão" dataDxfId="137"/>
    <tableColumn id="3" name="Percentual" totalsRowFunction="custom">
      <totalsRowFormula>SUM(C77:C82)</totalsRowFormula>
    </tableColumn>
    <tableColumn id="4" name="Valor" totalsRowFunction="custom">
      <totalsRowFormula>TRUNC((SUM(D77:D82)),2)</totalsRowFormula>
    </tableColumn>
  </tableColumns>
  <tableStyleInfo showFirstColumn="0" showLastColumn="0" showRowStripes="1" showColumnStripes="0"/>
</table>
</file>

<file path=xl/tables/table55.xml><?xml version="1.0" encoding="utf-8"?>
<table xmlns="http://schemas.openxmlformats.org/spreadsheetml/2006/main" id="44" name="Módulo562_45" displayName="Módulo562_45" ref="A113:D119" totalsRowCount="1">
  <autoFilter ref="A113:D118"/>
  <tableColumns count="4">
    <tableColumn id="1" name="5" totalsRowLabel="Total" dataDxfId="138"/>
    <tableColumn id="2" name="Insumos Diversos" dataDxfId="139"/>
    <tableColumn id="3" name="Comentário" dataDxfId="140"/>
    <tableColumn id="4" name="Valor" totalsRowFunction="custom">
      <totalsRowFormula>TRUNC(SUM(D114:D118),2)</totalsRowFormula>
    </tableColumn>
  </tableColumns>
  <tableStyleInfo showFirstColumn="0" showLastColumn="0" showRowStripes="1" showColumnStripes="0"/>
</table>
</file>

<file path=xl/tables/table56.xml><?xml version="1.0" encoding="utf-8"?>
<table xmlns="http://schemas.openxmlformats.org/spreadsheetml/2006/main" id="45" name="Módulo663_46" displayName="Módulo663_46" ref="A129:D136" totalsRowCount="1">
  <tableColumns count="4">
    <tableColumn id="1" name="6" totalsRowLabel="Total" dataDxfId="141"/>
    <tableColumn id="2" name="Custos Indiretos, Tributos e Lucro" dataDxfId="142"/>
    <tableColumn id="3" name="Percentual" dataDxfId="143"/>
    <tableColumn id="4" name="Valor" totalsRowFunction="custom">
      <totalsRowFormula>TRUNC(SUM(D130:D132),2)</totalsRowFormula>
    </tableColumn>
  </tableColumns>
  <tableStyleInfo showFirstColumn="0" showLastColumn="0" showRowStripes="1" showColumnStripes="0"/>
</table>
</file>

<file path=xl/tables/table57.xml><?xml version="1.0" encoding="utf-8"?>
<table xmlns="http://schemas.openxmlformats.org/spreadsheetml/2006/main" id="46" name="ResumoMódulo257_47" displayName="ResumoMódulo257_47" ref="A69:D73" totalsRowCount="1">
  <autoFilter ref="A69:D72"/>
  <tableColumns count="4">
    <tableColumn id="1" name="2" totalsRowLabel="Total" dataDxfId="144"/>
    <tableColumn id="2" name="Encargos e Benefícios Anuais, Mensais e Diários" dataDxfId="145"/>
    <tableColumn id="3" name="Comentário" dataDxfId="146"/>
    <tableColumn id="4" name="Valor" totalsRowFunction="custom">
      <totalsRowFormula>TRUNC((SUM(D70:D72)),2)</totalsRowFormula>
    </tableColumn>
  </tableColumns>
  <tableStyleInfo showFirstColumn="0" showLastColumn="0" showRowStripes="1" showColumnStripes="0"/>
</table>
</file>

<file path=xl/tables/table58.xml><?xml version="1.0" encoding="utf-8"?>
<table xmlns="http://schemas.openxmlformats.org/spreadsheetml/2006/main" id="47" name="Submódulo2.154_48" displayName="Submódulo2.154_48" ref="A36:D39" totalsRowCount="1">
  <autoFilter ref="A36:D38"/>
  <tableColumns count="4">
    <tableColumn id="1" name="2.1" totalsRowLabel="Total" dataDxfId="147"/>
    <tableColumn id="2" name="13º (décimo terceiro) Salário, Férias e Adicional de Férias" dataDxfId="148"/>
    <tableColumn id="3" name="Percentual" dataDxfId="149"/>
    <tableColumn id="4" name="Valor" totalsRowFunction="custom">
      <totalsRowFormula>TRUNC((SUM(D37:D38)),2)</totalsRowFormula>
    </tableColumn>
  </tableColumns>
  <tableStyleInfo showFirstColumn="0" showLastColumn="0" showRowStripes="1" showColumnStripes="0"/>
</table>
</file>

<file path=xl/tables/table59.xml><?xml version="1.0" encoding="utf-8"?>
<table xmlns="http://schemas.openxmlformats.org/spreadsheetml/2006/main" id="48" name="ResumoMódulo461_49" displayName="ResumoMódulo461_49" ref="A107:D110" totalsRowCount="1">
  <autoFilter ref="A107:D109"/>
  <tableColumns count="4">
    <tableColumn id="1" name="4" totalsRowLabel="Total" dataDxfId="150"/>
    <tableColumn id="2" name="Custo de Reposição do Profissional Ausente" dataDxfId="151"/>
    <tableColumn id="3" name="Comentário" totalsRowLabel="*Nota: Se o titular USUFRUIR do descanso intrajornada, o total é o somatório dos subitens 4.1 e 4.2" dataDxfId="152"/>
    <tableColumn id="4" name="Valor" totalsRowFunction="custom">
      <totalsRowFormula>TRUNC((SUM(D108:D109)),2)</totalsRowFormula>
    </tableColumn>
  </tableColumns>
  <tableStyleInfo showFirstColumn="0" showLastColumn="0" showRowStripes="1" showColumnStripes="0"/>
</table>
</file>

<file path=xl/tables/table6.xml><?xml version="1.0" encoding="utf-8"?>
<table xmlns="http://schemas.openxmlformats.org/spreadsheetml/2006/main" id="8" name="Módulo5" displayName="Módulo5" ref="A114:D119" totalsRowCount="1">
  <autoFilter ref="A114:D118"/>
  <tableColumns count="4">
    <tableColumn id="1" name="5" dataDxfId="14"/>
    <tableColumn id="2" name="Insumos Diversos" dataDxfId="15"/>
    <tableColumn id="3" name="Comentário" dataDxfId="16"/>
    <tableColumn id="4" name="Valor" dataDxfId="17"/>
  </tableColumns>
  <tableStyleInfo showFirstColumn="0" showLastColumn="0" showRowStripes="1" showColumnStripes="0"/>
</table>
</file>

<file path=xl/tables/table60.xml><?xml version="1.0" encoding="utf-8"?>
<table xmlns="http://schemas.openxmlformats.org/spreadsheetml/2006/main" id="49" name="Submódulo2.255_50" displayName="Submódulo2.255_50" ref="A46:D55" totalsRowCount="1">
  <autoFilter ref="A46:D54"/>
  <tableColumns count="4">
    <tableColumn id="1" name="2.2" totalsRowLabel="Total" dataDxfId="153"/>
    <tableColumn id="2" name="GPS, FGTS e outras contribuições" dataDxfId="154"/>
    <tableColumn id="3" name="Percentual" totalsRowFunction="custom">
      <totalsRowFormula>SUM(C47:C54)</totalsRowFormula>
    </tableColumn>
    <tableColumn id="4" name="Valor " totalsRowFunction="custom">
      <totalsRowFormula>TRUNC((SUM(D47:D54)),2)</totalsRowFormula>
    </tableColumn>
  </tableColumns>
  <tableStyleInfo showFirstColumn="0" showLastColumn="0" showRowStripes="1" showColumnStripes="0"/>
</table>
</file>

<file path=xl/tables/table61.xml><?xml version="1.0" encoding="utf-8"?>
<table xmlns="http://schemas.openxmlformats.org/spreadsheetml/2006/main" id="50" name="ResumoPosto64_51" displayName="ResumoPosto64_51" ref="A140:D148" totalsRowShown="0">
  <autoFilter ref="A140:D148"/>
  <tableColumns count="4">
    <tableColumn id="1" name="Item" dataDxfId="155"/>
    <tableColumn id="2" name="Mão de obra vinculada à execução contratual" dataDxfId="156"/>
    <tableColumn id="3" name="-" dataDxfId="157"/>
    <tableColumn id="4" name="Valor" dataDxfId="158"/>
  </tableColumns>
  <tableStyleInfo showFirstColumn="0" showLastColumn="0" showRowStripes="1" showColumnStripes="0"/>
</table>
</file>

<file path=xl/tables/table62.xml><?xml version="1.0" encoding="utf-8"?>
<table xmlns="http://schemas.openxmlformats.org/spreadsheetml/2006/main" id="51" name="Módulo153_52" displayName="Módulo153_52" ref="A24:D31" totalsRowCount="1">
  <autoFilter ref="A24:D30"/>
  <tableColumns count="4">
    <tableColumn id="1" name="1" totalsRowLabel="Total" dataDxfId="159"/>
    <tableColumn id="2" name="Composição da Remuneração" dataDxfId="160"/>
    <tableColumn id="3" name="Comentário" dataDxfId="161"/>
    <tableColumn id="4" name="Valor" totalsRowFunction="custom">
      <totalsRowFormula>TRUNC((SUM(D25:D30)),2)</totalsRowFormula>
    </tableColumn>
  </tableColumns>
  <tableStyleInfo showFirstColumn="0" showLastColumn="0" showRowStripes="1" showColumnStripes="0"/>
</table>
</file>

<file path=xl/tables/table63.xml><?xml version="1.0" encoding="utf-8"?>
<table xmlns="http://schemas.openxmlformats.org/spreadsheetml/2006/main" id="52" name="Submódulo2.356_53" displayName="Submódulo2.356_53" ref="A58:D66" totalsRowCount="1">
  <autoFilter ref="A58:D65"/>
  <tableColumns count="4">
    <tableColumn id="1" name="2.3" totalsRowLabel="Total" dataDxfId="162"/>
    <tableColumn id="2" name="Benefícios Mensais e Diários" dataDxfId="163"/>
    <tableColumn id="3" name="Comentário" dataDxfId="164"/>
    <tableColumn id="4" name="Valor" totalsRowFunction="custom">
      <totalsRowFormula>TRUNC((SUM(D59:D65)),2)</totalsRowFormula>
    </tableColumn>
  </tableColumns>
  <tableStyleInfo showFirstColumn="0" showLastColumn="0" showRowStripes="1" showColumnStripes="0"/>
</table>
</file>

<file path=xl/tables/table64.xml><?xml version="1.0" encoding="utf-8"?>
<table xmlns="http://schemas.openxmlformats.org/spreadsheetml/2006/main" id="53" name="Submódulo4.159_54" displayName="Submódulo4.159_54" ref="A92:D99" totalsRowCount="1">
  <autoFilter ref="A92:D98"/>
  <tableColumns count="4">
    <tableColumn id="1" name="4.1" totalsRowLabel="Total" dataDxfId="165"/>
    <tableColumn id="2" name="Substituto nas Ausências Legais" dataDxfId="166"/>
    <tableColumn id="3" name="Percentual" totalsRowFunction="custom">
      <totalsRowFormula>SUM(C93:C98)</totalsRowFormula>
    </tableColumn>
    <tableColumn id="4" name="Valor" totalsRowFunction="custom">
      <totalsRowFormula>TRUNC(SUM(D93:D98),2)</totalsRowFormula>
    </tableColumn>
  </tableColumns>
  <tableStyleInfo showFirstColumn="0" showLastColumn="0" showRowStripes="1" showColumnStripes="0"/>
</table>
</file>

<file path=xl/tables/table65.xml><?xml version="1.0" encoding="utf-8"?>
<table xmlns="http://schemas.openxmlformats.org/spreadsheetml/2006/main" id="54" name="Submódulo4.260_55" displayName="Submódulo4.260_55" ref="A102:D104" totalsRowCount="1">
  <autoFilter ref="A102:D103"/>
  <tableColumns count="4">
    <tableColumn id="1" name="4.2" totalsRowLabel="Total" dataDxfId="167"/>
    <tableColumn id="2" name="Substituto na Intrajornada " dataDxfId="168"/>
    <tableColumn id="3" name="Comentário" dataDxfId="169"/>
    <tableColumn id="4" name="Valor" totalsRowFunction="custom">
      <totalsRowFormula>D103</totalsRowFormula>
    </tableColumn>
  </tableColumns>
  <tableStyleInfo showFirstColumn="0" showLastColumn="0" showRowStripes="1" showColumnStripes="0"/>
</table>
</file>

<file path=xl/tables/table66.xml><?xml version="1.0" encoding="utf-8"?>
<table xmlns="http://schemas.openxmlformats.org/spreadsheetml/2006/main" id="55" name="Table452_56" displayName="Table452_56" ref="A16:D21" totalsRowShown="0">
  <tableColumns count="4">
    <tableColumn id="1" name="Item" dataDxfId="170"/>
    <tableColumn id="2" name="Descrição" dataDxfId="171"/>
    <tableColumn id="3" name="Comentário" dataDxfId="172"/>
    <tableColumn id="4" name="Valor" dataDxfId="173"/>
  </tableColumns>
  <tableStyleInfo showFirstColumn="0" showLastColumn="0" showRowStripes="1" showColumnStripes="0"/>
</table>
</file>

<file path=xl/tables/table67.xml><?xml version="1.0" encoding="utf-8"?>
<table xmlns="http://schemas.openxmlformats.org/spreadsheetml/2006/main" id="56" name="Módulo358_57" displayName="Módulo358_57" ref="A76:D83" totalsRowCount="1">
  <autoFilter ref="A76:D82"/>
  <tableColumns count="4">
    <tableColumn id="1" name="3" totalsRowLabel="Total" dataDxfId="174"/>
    <tableColumn id="2" name="Provisão para Rescisão" dataDxfId="175"/>
    <tableColumn id="3" name="Percentual" totalsRowFunction="custom">
      <totalsRowFormula>SUM(C77:C82)</totalsRowFormula>
    </tableColumn>
    <tableColumn id="4" name="Valor" totalsRowFunction="custom">
      <totalsRowFormula>TRUNC((SUM(D77:D82)),2)</totalsRowFormula>
    </tableColumn>
  </tableColumns>
  <tableStyleInfo showFirstColumn="0" showLastColumn="0" showRowStripes="1" showColumnStripes="0"/>
</table>
</file>

<file path=xl/tables/table68.xml><?xml version="1.0" encoding="utf-8"?>
<table xmlns="http://schemas.openxmlformats.org/spreadsheetml/2006/main" id="57" name="Módulo562_58" displayName="Módulo562_58" ref="A113:D119" totalsRowCount="1">
  <autoFilter ref="A113:D118"/>
  <tableColumns count="4">
    <tableColumn id="1" name="5" totalsRowLabel="Total" dataDxfId="176"/>
    <tableColumn id="2" name="Insumos Diversos" dataDxfId="177"/>
    <tableColumn id="3" name="Comentário" dataDxfId="178"/>
    <tableColumn id="4" name="Valor" totalsRowFunction="custom">
      <totalsRowFormula>TRUNC(SUM(D114:D118),2)</totalsRowFormula>
    </tableColumn>
  </tableColumns>
  <tableStyleInfo showFirstColumn="0" showLastColumn="0" showRowStripes="1" showColumnStripes="0"/>
</table>
</file>

<file path=xl/tables/table69.xml><?xml version="1.0" encoding="utf-8"?>
<table xmlns="http://schemas.openxmlformats.org/spreadsheetml/2006/main" id="58" name="Módulo663_59" displayName="Módulo663_59" ref="A129:D136" totalsRowCount="1">
  <tableColumns count="4">
    <tableColumn id="1" name="6" totalsRowLabel="Total" dataDxfId="179"/>
    <tableColumn id="2" name="Custos Indiretos, Tributos e Lucro" dataDxfId="180"/>
    <tableColumn id="3" name="Percentual" dataDxfId="181"/>
    <tableColumn id="4" name="Valor" totalsRowFunction="custom">
      <totalsRowFormula>TRUNC(SUM(D130:D132),2)</totalsRowFormula>
    </tableColumn>
  </tableColumns>
  <tableStyleInfo showFirstColumn="0" showLastColumn="0" showRowStripes="1" showColumnStripes="0"/>
</table>
</file>

<file path=xl/tables/table7.xml><?xml version="1.0" encoding="utf-8"?>
<table xmlns="http://schemas.openxmlformats.org/spreadsheetml/2006/main" id="10" name="Módulo6" displayName="Módulo6" ref="A129:D136" totalsRowCount="1">
  <tableColumns count="4">
    <tableColumn id="1" name="6" dataDxfId="18"/>
    <tableColumn id="2" name="Custos Indiretos, Tributos e Lucro" dataDxfId="19"/>
    <tableColumn id="3" name="Percentual" dataDxfId="20"/>
    <tableColumn id="4" name="Valor" dataDxfId="21"/>
  </tableColumns>
  <tableStyleInfo showFirstColumn="0" showLastColumn="0" showRowStripes="1" showColumnStripes="0"/>
</table>
</file>

<file path=xl/tables/table70.xml><?xml version="1.0" encoding="utf-8"?>
<table xmlns="http://schemas.openxmlformats.org/spreadsheetml/2006/main" id="59" name="ResumoMódulo257_60" displayName="ResumoMódulo257_60" ref="A69:D73" totalsRowCount="1">
  <autoFilter ref="A69:D72"/>
  <tableColumns count="4">
    <tableColumn id="1" name="2" totalsRowLabel="Total" dataDxfId="182"/>
    <tableColumn id="2" name="Encargos e Benefícios Anuais, Mensais e Diários" dataDxfId="183"/>
    <tableColumn id="3" name="Comentário" dataDxfId="184"/>
    <tableColumn id="4" name="Valor" totalsRowFunction="custom">
      <totalsRowFormula>TRUNC((SUM(D70:D72)),2)</totalsRowFormula>
    </tableColumn>
  </tableColumns>
  <tableStyleInfo showFirstColumn="0" showLastColumn="0" showRowStripes="1" showColumnStripes="0"/>
</table>
</file>

<file path=xl/tables/table71.xml><?xml version="1.0" encoding="utf-8"?>
<table xmlns="http://schemas.openxmlformats.org/spreadsheetml/2006/main" id="60" name="Submódulo2.154_61" displayName="Submódulo2.154_61" ref="A36:D39" totalsRowCount="1">
  <autoFilter ref="A36:D38"/>
  <tableColumns count="4">
    <tableColumn id="1" name="2.1" totalsRowLabel="Total" dataDxfId="185"/>
    <tableColumn id="2" name="13º (décimo terceiro) Salário, Férias e Adicional de Férias" dataDxfId="186"/>
    <tableColumn id="3" name="Percentual" dataDxfId="187"/>
    <tableColumn id="4" name="Valor" totalsRowFunction="custom">
      <totalsRowFormula>TRUNC((SUM(D37:D38)),2)</totalsRowFormula>
    </tableColumn>
  </tableColumns>
  <tableStyleInfo showFirstColumn="0" showLastColumn="0" showRowStripes="1" showColumnStripes="0"/>
</table>
</file>

<file path=xl/tables/table72.xml><?xml version="1.0" encoding="utf-8"?>
<table xmlns="http://schemas.openxmlformats.org/spreadsheetml/2006/main" id="61" name="ResumoMódulo461_62" displayName="ResumoMódulo461_62" ref="A107:D110" totalsRowCount="1">
  <autoFilter ref="A107:D109"/>
  <tableColumns count="4">
    <tableColumn id="1" name="4" totalsRowLabel="Total" dataDxfId="188"/>
    <tableColumn id="2" name="Custo de Reposição do Profissional Ausente" dataDxfId="189"/>
    <tableColumn id="3" name="Comentário" totalsRowLabel="*Nota: Se o titular USUFRUIR do descanso intrajornada, o total é o somatório dos subitens 4.1 e 4.2" dataDxfId="190"/>
    <tableColumn id="4" name="Valor" totalsRowFunction="custom">
      <totalsRowFormula>TRUNC((SUM(D108:D109)),2)</totalsRowFormula>
    </tableColumn>
  </tableColumns>
  <tableStyleInfo showFirstColumn="0" showLastColumn="0" showRowStripes="1" showColumnStripes="0"/>
</table>
</file>

<file path=xl/tables/table73.xml><?xml version="1.0" encoding="utf-8"?>
<table xmlns="http://schemas.openxmlformats.org/spreadsheetml/2006/main" id="62" name="Submódulo2.255_63" displayName="Submódulo2.255_63" ref="A46:D55" totalsRowCount="1">
  <autoFilter ref="A46:D54"/>
  <tableColumns count="4">
    <tableColumn id="1" name="2.2" totalsRowLabel="Total" dataDxfId="191"/>
    <tableColumn id="2" name="GPS, FGTS e outras contribuições" dataDxfId="192"/>
    <tableColumn id="3" name="Percentual" totalsRowFunction="custom">
      <totalsRowFormula>SUM(C47:C54)</totalsRowFormula>
    </tableColumn>
    <tableColumn id="4" name="Valor " totalsRowFunction="custom">
      <totalsRowFormula>TRUNC((SUM(D47:D54)),2)</totalsRowFormula>
    </tableColumn>
  </tableColumns>
  <tableStyleInfo showFirstColumn="0" showLastColumn="0" showRowStripes="1" showColumnStripes="0"/>
</table>
</file>

<file path=xl/tables/table74.xml><?xml version="1.0" encoding="utf-8"?>
<table xmlns="http://schemas.openxmlformats.org/spreadsheetml/2006/main" id="63" name="ResumoPosto64_64" displayName="ResumoPosto64_64" ref="A140:D149" totalsRowShown="0">
  <autoFilter ref="A140:D149"/>
  <tableColumns count="4">
    <tableColumn id="1" name="Item" dataDxfId="193"/>
    <tableColumn id="2" name="Mão de obra vinculada à execução contratual" dataDxfId="194"/>
    <tableColumn id="3" name="-" dataDxfId="195"/>
    <tableColumn id="4" name="Valor" dataDxfId="196"/>
  </tableColumns>
  <tableStyleInfo showFirstColumn="0" showLastColumn="0" showRowStripes="1" showColumnStripes="0"/>
</table>
</file>

<file path=xl/tables/table75.xml><?xml version="1.0" encoding="utf-8"?>
<table xmlns="http://schemas.openxmlformats.org/spreadsheetml/2006/main" id="77" name="Módulo153_78" displayName="Módulo153_78" ref="A24:D31" totalsRowCount="1">
  <autoFilter ref="A24:D30"/>
  <tableColumns count="4">
    <tableColumn id="1" name="1" totalsRowLabel="Total" dataDxfId="197"/>
    <tableColumn id="2" name="Composição da Remuneração" dataDxfId="198"/>
    <tableColumn id="3" name="Comentário" dataDxfId="199"/>
    <tableColumn id="4" name="Valor" totalsRowFunction="custom">
      <totalsRowFormula>TRUNC(SUM(D25:D30),2)</totalsRowFormula>
    </tableColumn>
  </tableColumns>
  <tableStyleInfo showFirstColumn="0" showLastColumn="0" showRowStripes="1" showColumnStripes="0"/>
</table>
</file>

<file path=xl/tables/table76.xml><?xml version="1.0" encoding="utf-8"?>
<table xmlns="http://schemas.openxmlformats.org/spreadsheetml/2006/main" id="78" name="Submódulo2.356_79" displayName="Submódulo2.356_79" ref="A58:D65" totalsRowCount="1">
  <autoFilter ref="A58:D64"/>
  <tableColumns count="4">
    <tableColumn id="1" name="2.3" totalsRowLabel="Total" dataDxfId="200"/>
    <tableColumn id="2" name="Benefícios Mensais e Diários" dataDxfId="201"/>
    <tableColumn id="3" name="Comentário" dataDxfId="202"/>
    <tableColumn id="4" name="Valor" totalsRowFunction="custom">
      <totalsRowFormula>TRUNC((SUM(D59:D64)),2)</totalsRowFormula>
    </tableColumn>
  </tableColumns>
  <tableStyleInfo showFirstColumn="0" showLastColumn="0" showRowStripes="1" showColumnStripes="0"/>
</table>
</file>

<file path=xl/tables/table77.xml><?xml version="1.0" encoding="utf-8"?>
<table xmlns="http://schemas.openxmlformats.org/spreadsheetml/2006/main" id="79" name="Submódulo4.159_80" displayName="Submódulo4.159_80" ref="A91:D98" totalsRowCount="1">
  <autoFilter ref="A91:D97"/>
  <tableColumns count="4">
    <tableColumn id="1" name="4.1" totalsRowLabel="Total" dataDxfId="203"/>
    <tableColumn id="2" name="Substituto nas Ausências Legais" dataDxfId="204"/>
    <tableColumn id="3" name="Percentual" totalsRowFunction="custom">
      <totalsRowFormula>SUM(C92:C97)</totalsRowFormula>
    </tableColumn>
    <tableColumn id="4" name="Valor" totalsRowFunction="custom">
      <totalsRowFormula>TRUNC((SUM(D92:D97)),2)</totalsRowFormula>
    </tableColumn>
  </tableColumns>
  <tableStyleInfo showFirstColumn="0" showLastColumn="0" showRowStripes="1" showColumnStripes="0"/>
</table>
</file>

<file path=xl/tables/table78.xml><?xml version="1.0" encoding="utf-8"?>
<table xmlns="http://schemas.openxmlformats.org/spreadsheetml/2006/main" id="80" name="Submódulo4.260_81" displayName="Submódulo4.260_81" ref="A101:D103" totalsRowCount="1">
  <autoFilter ref="A101:D102"/>
  <tableColumns count="4">
    <tableColumn id="1" name="4.2" totalsRowLabel="Total" dataDxfId="205"/>
    <tableColumn id="2" name="Substituto na Intrajornada " dataDxfId="206"/>
    <tableColumn id="3" name="Comentário" dataDxfId="207"/>
    <tableColumn id="4" name="Valor" totalsRowFunction="custom">
      <totalsRowFormula>D102</totalsRowFormula>
    </tableColumn>
  </tableColumns>
  <tableStyleInfo showFirstColumn="0" showLastColumn="0" showRowStripes="1" showColumnStripes="0"/>
</table>
</file>

<file path=xl/tables/table79.xml><?xml version="1.0" encoding="utf-8"?>
<table xmlns="http://schemas.openxmlformats.org/spreadsheetml/2006/main" id="81" name="Table452_82" displayName="Table452_82" ref="A16:D21" totalsRowShown="0">
  <tableColumns count="4">
    <tableColumn id="1" name="Item" dataDxfId="208"/>
    <tableColumn id="2" name="Descrição" dataDxfId="209"/>
    <tableColumn id="3" name="Comentário" dataDxfId="210"/>
    <tableColumn id="4" name="Valor" dataDxfId="211"/>
  </tableColumns>
  <tableStyleInfo showFirstColumn="0" showLastColumn="0" showRowStripes="1" showColumnStripes="0"/>
</table>
</file>

<file path=xl/tables/table8.xml><?xml version="1.0" encoding="utf-8"?>
<table xmlns="http://schemas.openxmlformats.org/spreadsheetml/2006/main" id="12" name="ResumoMódulo2" displayName="ResumoMódulo2" ref="A61:D65" totalsRowCount="1">
  <autoFilter ref="A61:D64"/>
  <tableColumns count="4">
    <tableColumn id="1" name="2" dataDxfId="22"/>
    <tableColumn id="2" name="Encargos e Benefícios Anuais, Mensais e Diários" dataDxfId="23"/>
    <tableColumn id="3" name="Comentário" dataDxfId="24"/>
    <tableColumn id="4" name="Valor" dataDxfId="25"/>
  </tableColumns>
  <tableStyleInfo showFirstColumn="0" showLastColumn="0" showRowStripes="1" showColumnStripes="0"/>
</table>
</file>

<file path=xl/tables/table80.xml><?xml version="1.0" encoding="utf-8"?>
<table xmlns="http://schemas.openxmlformats.org/spreadsheetml/2006/main" id="82" name="Módulo358_83" displayName="Módulo358_83" ref="A75:D82" totalsRowCount="1">
  <autoFilter ref="A75:D81"/>
  <tableColumns count="4">
    <tableColumn id="1" name="3" totalsRowLabel="Total" dataDxfId="212"/>
    <tableColumn id="2" name="Provisão para Rescisão" dataDxfId="213"/>
    <tableColumn id="3" name="Percentual" totalsRowFunction="custom">
      <totalsRowFormula>SUM(C76:C81)</totalsRowFormula>
    </tableColumn>
    <tableColumn id="4" name="Valor" totalsRowFunction="custom">
      <totalsRowFormula>TRUNC((SUM(D76:D81)),2)</totalsRowFormula>
    </tableColumn>
  </tableColumns>
  <tableStyleInfo showFirstColumn="0" showLastColumn="0" showRowStripes="1" showColumnStripes="0"/>
</table>
</file>

<file path=xl/tables/table81.xml><?xml version="1.0" encoding="utf-8"?>
<table xmlns="http://schemas.openxmlformats.org/spreadsheetml/2006/main" id="83" name="Módulo562_84" displayName="Módulo562_84" ref="A112:D118" totalsRowCount="1">
  <autoFilter ref="A112:D117"/>
  <tableColumns count="4">
    <tableColumn id="1" name="5" totalsRowLabel="Total" dataDxfId="214"/>
    <tableColumn id="2" name="Insumos Diversos" dataDxfId="215"/>
    <tableColumn id="3" name="Comentário" dataDxfId="216"/>
    <tableColumn id="4" name="Valor" totalsRowFunction="custom">
      <totalsRowFormula>TRUNC(SUM(D113:D117),2)</totalsRowFormula>
    </tableColumn>
  </tableColumns>
  <tableStyleInfo showFirstColumn="0" showLastColumn="0" showRowStripes="1" showColumnStripes="0"/>
</table>
</file>

<file path=xl/tables/table82.xml><?xml version="1.0" encoding="utf-8"?>
<table xmlns="http://schemas.openxmlformats.org/spreadsheetml/2006/main" id="84" name="Módulo663_85" displayName="Módulo663_85" ref="A128:D135" totalsRowCount="1">
  <tableColumns count="4">
    <tableColumn id="1" name="6" totalsRowLabel="Total" dataDxfId="217"/>
    <tableColumn id="2" name="Custos Indiretos, Tributos e Lucro" dataDxfId="218"/>
    <tableColumn id="3" name="Percentual" dataDxfId="219"/>
    <tableColumn id="4" name="Valor" totalsRowFunction="custom">
      <totalsRowFormula>TRUNC(SUM(D129:D131),2)</totalsRowFormula>
    </tableColumn>
  </tableColumns>
  <tableStyleInfo showFirstColumn="0" showLastColumn="0" showRowStripes="1" showColumnStripes="0"/>
</table>
</file>

<file path=xl/tables/table83.xml><?xml version="1.0" encoding="utf-8"?>
<table xmlns="http://schemas.openxmlformats.org/spreadsheetml/2006/main" id="85" name="ResumoMódulo257_86" displayName="ResumoMódulo257_86" ref="A68:D72" totalsRowCount="1">
  <autoFilter ref="A68:D71"/>
  <tableColumns count="4">
    <tableColumn id="1" name="2" totalsRowLabel="Total" dataDxfId="220"/>
    <tableColumn id="2" name="Encargos e Benefícios Anuais, Mensais e Diários" dataDxfId="221"/>
    <tableColumn id="3" name="Comentário" dataDxfId="222"/>
    <tableColumn id="4" name="Valor" totalsRowFunction="custom">
      <totalsRowFormula>TRUNC(SUM(D69:D71),2)</totalsRowFormula>
    </tableColumn>
  </tableColumns>
  <tableStyleInfo showFirstColumn="0" showLastColumn="0" showRowStripes="1" showColumnStripes="0"/>
</table>
</file>

<file path=xl/tables/table84.xml><?xml version="1.0" encoding="utf-8"?>
<table xmlns="http://schemas.openxmlformats.org/spreadsheetml/2006/main" id="86" name="Submódulo2.154_87" displayName="Submódulo2.154_87" ref="A36:D39" totalsRowCount="1">
  <autoFilter ref="A36:D38"/>
  <tableColumns count="4">
    <tableColumn id="1" name="2.1" totalsRowLabel="Total" dataDxfId="223"/>
    <tableColumn id="2" name="13º (décimo terceiro) Salário, Férias e Adicional de Férias" dataDxfId="224"/>
    <tableColumn id="3" name="Percentual" dataDxfId="225"/>
    <tableColumn id="4" name="Valor" totalsRowFunction="custom">
      <totalsRowFormula>TRUNC((SUM(D37:D38)),2)</totalsRowFormula>
    </tableColumn>
  </tableColumns>
  <tableStyleInfo showFirstColumn="0" showLastColumn="0" showRowStripes="1" showColumnStripes="0"/>
</table>
</file>

<file path=xl/tables/table85.xml><?xml version="1.0" encoding="utf-8"?>
<table xmlns="http://schemas.openxmlformats.org/spreadsheetml/2006/main" id="87" name="ResumoMódulo461_88" displayName="ResumoMódulo461_88" ref="A106:D109" totalsRowCount="1">
  <autoFilter ref="A106:D108"/>
  <tableColumns count="4">
    <tableColumn id="1" name="4" totalsRowLabel="Total" dataDxfId="226"/>
    <tableColumn id="2" name="Custo de Reposição do Profissional Ausente" dataDxfId="227"/>
    <tableColumn id="3" name="Comentário" totalsRowLabel="*Nota: Se o titular USUFRUIR do descanso intrajornada, o total é o somatório dos subitens 4.1 e 4.2" dataDxfId="228"/>
    <tableColumn id="4" name="Valor" totalsRowFunction="custom">
      <totalsRowFormula>TRUNC((SUM(D107:D108)),2)</totalsRowFormula>
    </tableColumn>
  </tableColumns>
  <tableStyleInfo showFirstColumn="0" showLastColumn="0" showRowStripes="1" showColumnStripes="0"/>
</table>
</file>

<file path=xl/tables/table86.xml><?xml version="1.0" encoding="utf-8"?>
<table xmlns="http://schemas.openxmlformats.org/spreadsheetml/2006/main" id="88" name="Submódulo2.255_89" displayName="Submódulo2.255_89" ref="A46:D55" totalsRowCount="1">
  <autoFilter ref="A46:D54"/>
  <tableColumns count="4">
    <tableColumn id="1" name="2.2" totalsRowLabel="Total" dataDxfId="229"/>
    <tableColumn id="2" name="GPS, FGTS e outras contribuições" dataDxfId="230"/>
    <tableColumn id="3" name="Percentual" totalsRowFunction="custom">
      <totalsRowFormula>SUM(C47:C54)</totalsRowFormula>
    </tableColumn>
    <tableColumn id="4" name="Valor " totalsRowFunction="custom">
      <totalsRowFormula>TRUNC((SUM(D47:D54)),2)</totalsRowFormula>
    </tableColumn>
  </tableColumns>
  <tableStyleInfo showFirstColumn="0" showLastColumn="0" showRowStripes="1" showColumnStripes="0"/>
</table>
</file>

<file path=xl/tables/table87.xml><?xml version="1.0" encoding="utf-8"?>
<table xmlns="http://schemas.openxmlformats.org/spreadsheetml/2006/main" id="89" name="ResumoPosto64_90" displayName="ResumoPosto64_90" ref="A139:D147" totalsRowShown="0">
  <autoFilter ref="A139:D147"/>
  <tableColumns count="4">
    <tableColumn id="1" name="Item" dataDxfId="231"/>
    <tableColumn id="2" name="Mão de obra vinculada à execução contratual" dataDxfId="232"/>
    <tableColumn id="3" name="-" dataDxfId="233"/>
    <tableColumn id="4" name="Valor" dataDxfId="234"/>
  </tableColumns>
  <tableStyleInfo showFirstColumn="0" showLastColumn="0" showRowStripes="1" showColumnStripes="0"/>
</table>
</file>

<file path=xl/tables/table88.xml><?xml version="1.0" encoding="utf-8"?>
<table xmlns="http://schemas.openxmlformats.org/spreadsheetml/2006/main" id="142" name="Table43_143" displayName="Table43_143" ref="A3:H12">
  <autoFilter ref="A3:H12"/>
  <tableColumns count="8">
    <tableColumn id="1" name="ITEM" totalsRowLabel="Total" dataDxfId="235"/>
    <tableColumn id="2" name="PEÇA" dataDxfId="236"/>
    <tableColumn id="3" name="DESCRIÇÃO" dataDxfId="237"/>
    <tableColumn id="4" name="UNIDADE" dataDxfId="238"/>
    <tableColumn id="5" name="VALOR MÉDIO UNITÁRIO (R$)" dataDxfId="239"/>
    <tableColumn id="6" name="QUANTIDADE ANUAL" dataDxfId="240"/>
    <tableColumn id="7" name="VALOR ANUAL POR EMPREGADO (R$)" dataDxfId="241"/>
    <tableColumn id="8" name="VALOR MENSAL POR EMPREGADO (R$)" totalsRowFunction="sum" dataDxfId="242"/>
  </tableColumns>
  <tableStyleInfo showFirstColumn="0" showLastColumn="0" showRowStripes="1" showColumnStripes="0"/>
</table>
</file>

<file path=xl/tables/table89.xml><?xml version="1.0" encoding="utf-8"?>
<table xmlns="http://schemas.openxmlformats.org/spreadsheetml/2006/main" id="64" name="Table43_14365" displayName="Table43_14365" ref="A18:H26">
  <autoFilter ref="A18:H26"/>
  <tableColumns count="8">
    <tableColumn id="1" name="ITEM" totalsRowLabel="Total" dataDxfId="243"/>
    <tableColumn id="2" name="PEÇA" dataDxfId="244"/>
    <tableColumn id="3" name="DESCRIÇÃO" dataDxfId="245"/>
    <tableColumn id="4" name="UNIDADE" dataDxfId="246"/>
    <tableColumn id="5" name="VALOR MÉDIO UNITÁRIO (R$)" dataDxfId="247"/>
    <tableColumn id="6" name="QUANTIDADE ANUAL" dataDxfId="248"/>
    <tableColumn id="7" name="VALOR ANUAL POR EMPREGADO (R$)" dataDxfId="249"/>
    <tableColumn id="8" name="VALOR MENSAL POR EMPREGADO (R$)" totalsRowFunction="sum" dataDxfId="250"/>
  </tableColumns>
  <tableStyleInfo showFirstColumn="0" showLastColumn="0" showRowStripes="1" showColumnStripes="0"/>
</table>
</file>

<file path=xl/tables/table9.xml><?xml version="1.0" encoding="utf-8"?>
<table xmlns="http://schemas.openxmlformats.org/spreadsheetml/2006/main" id="14" name="ResumoMódulo4" displayName="ResumoMódulo4" ref="A108:D111" totalsRowCount="1">
  <autoFilter ref="A108:D110"/>
  <tableColumns count="4">
    <tableColumn id="1" name="4" dataDxfId="26"/>
    <tableColumn id="2" name="Custo de Reposição do Profissional Ausente" dataDxfId="27"/>
    <tableColumn id="3" name="Comentário" dataDxfId="28"/>
    <tableColumn id="4" name="Valor" dataDxfId="29"/>
  </tableColumns>
  <tableStyleInfo showFirstColumn="0" showLastColumn="0" showRowStripes="1" showColumnStripes="0"/>
</table>
</file>

<file path=xl/tables/table90.xml><?xml version="1.0" encoding="utf-8"?>
<table xmlns="http://schemas.openxmlformats.org/spreadsheetml/2006/main" id="65" name="Table43_1436566" displayName="Table43_1436566" ref="A32:H40">
  <autoFilter ref="A32:H40"/>
  <tableColumns count="8">
    <tableColumn id="1" name="ITEM" totalsRowLabel="Total" dataDxfId="251"/>
    <tableColumn id="2" name="PEÇA" dataDxfId="252"/>
    <tableColumn id="3" name="DESCRIÇÃO" dataDxfId="253"/>
    <tableColumn id="4" name="UNIDADE" dataDxfId="254"/>
    <tableColumn id="5" name="VALOR MÉDIO UNITÁRIO (R$)" dataDxfId="255"/>
    <tableColumn id="6" name="QUANTIDADE ANUAL" dataDxfId="256"/>
    <tableColumn id="7" name="VALOR ANUAL POR EMPREGADO (R$)" dataDxfId="257"/>
    <tableColumn id="8" name="VALOR MENSAL POR EMPREGADO (R$)" totalsRowFunction="sum" dataDxfId="258"/>
  </tableColumns>
  <tableStyleInfo showFirstColumn="0" showLastColumn="0" showRowStripes="1" showColumnStripes="0"/>
</table>
</file>

<file path=xl/tables/table91.xml><?xml version="1.0" encoding="utf-8"?>
<table xmlns="http://schemas.openxmlformats.org/spreadsheetml/2006/main" id="66" name="Table43_143656667" displayName="Table43_143656667" ref="A46:H55">
  <autoFilter ref="A46:H55"/>
  <tableColumns count="8">
    <tableColumn id="1" name="ITEM" totalsRowLabel="Total" dataDxfId="259"/>
    <tableColumn id="2" name="PEÇA" dataDxfId="260"/>
    <tableColumn id="3" name="DESCRIÇÃO" dataDxfId="261"/>
    <tableColumn id="4" name="UNIDADE" dataDxfId="262"/>
    <tableColumn id="5" name="VALOR MÉDIO UNITÁRIO (R$)" dataDxfId="263"/>
    <tableColumn id="6" name="QUANTIDADE ANUAL" dataDxfId="264"/>
    <tableColumn id="7" name="VALOR ANUAL POR EMPREGADO (R$)" dataDxfId="265"/>
    <tableColumn id="8" name="VALOR MENSAL POR EMPREGADO (R$)" totalsRowFunction="sum" dataDxfId="266"/>
  </tableColumns>
  <tableStyleInfo showFirstColumn="0" showLastColumn="0" showRowStripes="1" showColumnStripes="0"/>
</table>
</file>

<file path=xl/tables/table92.xml><?xml version="1.0" encoding="utf-8"?>
<table xmlns="http://schemas.openxmlformats.org/spreadsheetml/2006/main" id="93" name="Table43_1436594" displayName="Table43_1436594" ref="A61:H70">
  <autoFilter ref="A61:H70"/>
  <tableColumns count="8">
    <tableColumn id="1" name="ITEM" totalsRowLabel="Total"/>
    <tableColumn id="2" name="PEÇA" dataDxfId="267"/>
    <tableColumn id="3" name="DESCRIÇÃO"/>
    <tableColumn id="4" name="UNIDADE" dataDxfId="268"/>
    <tableColumn id="5" name="VALOR MÉDIO UNITÁRIO (R$)"/>
    <tableColumn id="6" name="QUANTIDADE ANUAL"/>
    <tableColumn id="7" name="VALOR ANUAL POR EMPREGADO (R$)"/>
    <tableColumn id="8" name="VALOR MENSAL POR EMPREGADO (R$)" totalsRowFunction="sum"/>
  </tableColumns>
  <tableStyleInfo showFirstColumn="0" showLastColumn="0" showRowStripes="1" showColumnStripes="0"/>
</table>
</file>

<file path=xl/tables/table93.xml><?xml version="1.0" encoding="utf-8"?>
<table xmlns="http://schemas.openxmlformats.org/spreadsheetml/2006/main" id="5" name="Table43_2" displayName="Table43_2" ref="A2:G6" totalsRowCount="1">
  <autoFilter ref="A2:G5"/>
  <tableColumns count="7">
    <tableColumn id="1" name="Item" totalsRowLabel="Total" dataDxfId="269"/>
    <tableColumn id="2" name="Peça" dataDxfId="270"/>
    <tableColumn id="3" name="Descrição" dataDxfId="271"/>
    <tableColumn id="4" name="Valor Médio Unitário (R$)" dataDxfId="272"/>
    <tableColumn id="5" name="Quantidade Anual" dataDxfId="273"/>
    <tableColumn id="6" name="Valor Anual/ Empregado (R$)" dataDxfId="274"/>
    <tableColumn id="7" name="Valor Mensal/ Empregado" totalsRowFunction="sum" dataDxfId="275"/>
  </tableColumns>
  <tableStyleInfo name="TableStyleMedium14" showFirstColumn="0" showLastColumn="0" showRowStripes="1" showColumnStripes="0"/>
</table>
</file>

<file path=xl/tables/table94.xml><?xml version="1.0" encoding="utf-8"?>
<table xmlns="http://schemas.openxmlformats.org/spreadsheetml/2006/main" id="7" name="Table39" displayName="Table39" ref="A2:G9" totalsRowCount="1">
  <tableColumns count="7">
    <tableColumn id="1" name="Item" totalsRowLabel="TOTAL" dataDxfId="276"/>
    <tableColumn id="2" name="Descrição" dataDxfId="277"/>
    <tableColumn id="7" name="Unidade" dataDxfId="278"/>
    <tableColumn id="3" name="Quantidade" dataDxfId="279"/>
    <tableColumn id="6" name="VIGÊNCIA (Mês)" dataDxfId="280"/>
    <tableColumn id="4" name="VALOR UNITÁRIO MÁXIMO ACEITÁVEL" dataDxfId="281"/>
    <tableColumn id="5" name="VALOR TOTAL MÁXIMO ACEITÁVEL" totalsRowFunction="custom">
      <totalsRowFormula>SUM(G3:G8)</totalsRowFormula>
    </tableColumn>
  </tableColumns>
  <tableStyleInfo name="TableStyleMedium14" showFirstColumn="0" showLastColumn="0" showRowStripes="1" showColumnStripes="0"/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table" Target="../tables/table93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94.xml"/></Relationships>
</file>

<file path=xl/worksheets/_rels/sheet2.xml.rels><?xml version="1.0" encoding="UTF-8" standalone="yes"?>
<Relationships xmlns="http://schemas.openxmlformats.org/package/2006/relationships"><Relationship Id="rId9" Type="http://schemas.openxmlformats.org/officeDocument/2006/relationships/table" Target="../tables/table7.xml"/><Relationship Id="rId8" Type="http://schemas.openxmlformats.org/officeDocument/2006/relationships/table" Target="../tables/table6.xml"/><Relationship Id="rId7" Type="http://schemas.openxmlformats.org/officeDocument/2006/relationships/table" Target="../tables/table5.xml"/><Relationship Id="rId6" Type="http://schemas.openxmlformats.org/officeDocument/2006/relationships/table" Target="../tables/table4.xml"/><Relationship Id="rId5" Type="http://schemas.openxmlformats.org/officeDocument/2006/relationships/table" Target="../tables/table3.xml"/><Relationship Id="rId4" Type="http://schemas.openxmlformats.org/officeDocument/2006/relationships/table" Target="../tables/table2.xml"/><Relationship Id="rId3" Type="http://schemas.openxmlformats.org/officeDocument/2006/relationships/table" Target="../tables/table1.xml"/><Relationship Id="rId24" Type="http://schemas.openxmlformats.org/officeDocument/2006/relationships/table" Target="../tables/table22.xml"/><Relationship Id="rId23" Type="http://schemas.openxmlformats.org/officeDocument/2006/relationships/table" Target="../tables/table21.xml"/><Relationship Id="rId22" Type="http://schemas.openxmlformats.org/officeDocument/2006/relationships/table" Target="../tables/table20.xml"/><Relationship Id="rId21" Type="http://schemas.openxmlformats.org/officeDocument/2006/relationships/table" Target="../tables/table19.xml"/><Relationship Id="rId20" Type="http://schemas.openxmlformats.org/officeDocument/2006/relationships/table" Target="../tables/table18.xml"/><Relationship Id="rId2" Type="http://schemas.openxmlformats.org/officeDocument/2006/relationships/vmlDrawing" Target="../drawings/vmlDrawing1.vml"/><Relationship Id="rId19" Type="http://schemas.openxmlformats.org/officeDocument/2006/relationships/table" Target="../tables/table17.xml"/><Relationship Id="rId18" Type="http://schemas.openxmlformats.org/officeDocument/2006/relationships/table" Target="../tables/table16.xml"/><Relationship Id="rId17" Type="http://schemas.openxmlformats.org/officeDocument/2006/relationships/table" Target="../tables/table15.xml"/><Relationship Id="rId16" Type="http://schemas.openxmlformats.org/officeDocument/2006/relationships/table" Target="../tables/table14.xml"/><Relationship Id="rId15" Type="http://schemas.openxmlformats.org/officeDocument/2006/relationships/table" Target="../tables/table13.xml"/><Relationship Id="rId14" Type="http://schemas.openxmlformats.org/officeDocument/2006/relationships/table" Target="../tables/table12.xml"/><Relationship Id="rId13" Type="http://schemas.openxmlformats.org/officeDocument/2006/relationships/table" Target="../tables/table11.xml"/><Relationship Id="rId12" Type="http://schemas.openxmlformats.org/officeDocument/2006/relationships/table" Target="../tables/table10.xml"/><Relationship Id="rId11" Type="http://schemas.openxmlformats.org/officeDocument/2006/relationships/table" Target="../tables/table9.xml"/><Relationship Id="rId10" Type="http://schemas.openxmlformats.org/officeDocument/2006/relationships/table" Target="../tables/table8.xml"/><Relationship Id="rId1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9" Type="http://schemas.openxmlformats.org/officeDocument/2006/relationships/table" Target="../tables/table31.xml"/><Relationship Id="rId8" Type="http://schemas.openxmlformats.org/officeDocument/2006/relationships/table" Target="../tables/table30.xml"/><Relationship Id="rId7" Type="http://schemas.openxmlformats.org/officeDocument/2006/relationships/table" Target="../tables/table29.xml"/><Relationship Id="rId6" Type="http://schemas.openxmlformats.org/officeDocument/2006/relationships/table" Target="../tables/table28.xml"/><Relationship Id="rId5" Type="http://schemas.openxmlformats.org/officeDocument/2006/relationships/table" Target="../tables/table27.xml"/><Relationship Id="rId4" Type="http://schemas.openxmlformats.org/officeDocument/2006/relationships/table" Target="../tables/table26.xml"/><Relationship Id="rId3" Type="http://schemas.openxmlformats.org/officeDocument/2006/relationships/table" Target="../tables/table25.xml"/><Relationship Id="rId2" Type="http://schemas.openxmlformats.org/officeDocument/2006/relationships/table" Target="../tables/table24.xml"/><Relationship Id="rId13" Type="http://schemas.openxmlformats.org/officeDocument/2006/relationships/table" Target="../tables/table35.xml"/><Relationship Id="rId12" Type="http://schemas.openxmlformats.org/officeDocument/2006/relationships/table" Target="../tables/table34.xml"/><Relationship Id="rId11" Type="http://schemas.openxmlformats.org/officeDocument/2006/relationships/table" Target="../tables/table33.xml"/><Relationship Id="rId10" Type="http://schemas.openxmlformats.org/officeDocument/2006/relationships/table" Target="../tables/table32.xml"/><Relationship Id="rId1" Type="http://schemas.openxmlformats.org/officeDocument/2006/relationships/table" Target="../tables/table23.xml"/></Relationships>
</file>

<file path=xl/worksheets/_rels/sheet4.xml.rels><?xml version="1.0" encoding="UTF-8" standalone="yes"?>
<Relationships xmlns="http://schemas.openxmlformats.org/package/2006/relationships"><Relationship Id="rId9" Type="http://schemas.openxmlformats.org/officeDocument/2006/relationships/table" Target="../tables/table44.xml"/><Relationship Id="rId8" Type="http://schemas.openxmlformats.org/officeDocument/2006/relationships/table" Target="../tables/table43.xml"/><Relationship Id="rId7" Type="http://schemas.openxmlformats.org/officeDocument/2006/relationships/table" Target="../tables/table42.xml"/><Relationship Id="rId6" Type="http://schemas.openxmlformats.org/officeDocument/2006/relationships/table" Target="../tables/table41.xml"/><Relationship Id="rId5" Type="http://schemas.openxmlformats.org/officeDocument/2006/relationships/table" Target="../tables/table40.xml"/><Relationship Id="rId4" Type="http://schemas.openxmlformats.org/officeDocument/2006/relationships/table" Target="../tables/table39.xml"/><Relationship Id="rId3" Type="http://schemas.openxmlformats.org/officeDocument/2006/relationships/table" Target="../tables/table38.xml"/><Relationship Id="rId2" Type="http://schemas.openxmlformats.org/officeDocument/2006/relationships/table" Target="../tables/table37.xml"/><Relationship Id="rId13" Type="http://schemas.openxmlformats.org/officeDocument/2006/relationships/table" Target="../tables/table48.xml"/><Relationship Id="rId12" Type="http://schemas.openxmlformats.org/officeDocument/2006/relationships/table" Target="../tables/table47.xml"/><Relationship Id="rId11" Type="http://schemas.openxmlformats.org/officeDocument/2006/relationships/table" Target="../tables/table46.xml"/><Relationship Id="rId10" Type="http://schemas.openxmlformats.org/officeDocument/2006/relationships/table" Target="../tables/table45.xml"/><Relationship Id="rId1" Type="http://schemas.openxmlformats.org/officeDocument/2006/relationships/table" Target="../tables/table36.xml"/></Relationships>
</file>

<file path=xl/worksheets/_rels/sheet5.xml.rels><?xml version="1.0" encoding="UTF-8" standalone="yes"?>
<Relationships xmlns="http://schemas.openxmlformats.org/package/2006/relationships"><Relationship Id="rId9" Type="http://schemas.openxmlformats.org/officeDocument/2006/relationships/table" Target="../tables/table57.xml"/><Relationship Id="rId8" Type="http://schemas.openxmlformats.org/officeDocument/2006/relationships/table" Target="../tables/table56.xml"/><Relationship Id="rId7" Type="http://schemas.openxmlformats.org/officeDocument/2006/relationships/table" Target="../tables/table55.xml"/><Relationship Id="rId6" Type="http://schemas.openxmlformats.org/officeDocument/2006/relationships/table" Target="../tables/table54.xml"/><Relationship Id="rId5" Type="http://schemas.openxmlformats.org/officeDocument/2006/relationships/table" Target="../tables/table53.xml"/><Relationship Id="rId4" Type="http://schemas.openxmlformats.org/officeDocument/2006/relationships/table" Target="../tables/table52.xml"/><Relationship Id="rId3" Type="http://schemas.openxmlformats.org/officeDocument/2006/relationships/table" Target="../tables/table51.xml"/><Relationship Id="rId2" Type="http://schemas.openxmlformats.org/officeDocument/2006/relationships/table" Target="../tables/table50.xml"/><Relationship Id="rId13" Type="http://schemas.openxmlformats.org/officeDocument/2006/relationships/table" Target="../tables/table61.xml"/><Relationship Id="rId12" Type="http://schemas.openxmlformats.org/officeDocument/2006/relationships/table" Target="../tables/table60.xml"/><Relationship Id="rId11" Type="http://schemas.openxmlformats.org/officeDocument/2006/relationships/table" Target="../tables/table59.xml"/><Relationship Id="rId10" Type="http://schemas.openxmlformats.org/officeDocument/2006/relationships/table" Target="../tables/table58.xml"/><Relationship Id="rId1" Type="http://schemas.openxmlformats.org/officeDocument/2006/relationships/table" Target="../tables/table49.xml"/></Relationships>
</file>

<file path=xl/worksheets/_rels/sheet6.xml.rels><?xml version="1.0" encoding="UTF-8" standalone="yes"?>
<Relationships xmlns="http://schemas.openxmlformats.org/package/2006/relationships"><Relationship Id="rId9" Type="http://schemas.openxmlformats.org/officeDocument/2006/relationships/table" Target="../tables/table70.xml"/><Relationship Id="rId8" Type="http://schemas.openxmlformats.org/officeDocument/2006/relationships/table" Target="../tables/table69.xml"/><Relationship Id="rId7" Type="http://schemas.openxmlformats.org/officeDocument/2006/relationships/table" Target="../tables/table68.xml"/><Relationship Id="rId6" Type="http://schemas.openxmlformats.org/officeDocument/2006/relationships/table" Target="../tables/table67.xml"/><Relationship Id="rId5" Type="http://schemas.openxmlformats.org/officeDocument/2006/relationships/table" Target="../tables/table66.xml"/><Relationship Id="rId4" Type="http://schemas.openxmlformats.org/officeDocument/2006/relationships/table" Target="../tables/table65.xml"/><Relationship Id="rId3" Type="http://schemas.openxmlformats.org/officeDocument/2006/relationships/table" Target="../tables/table64.xml"/><Relationship Id="rId2" Type="http://schemas.openxmlformats.org/officeDocument/2006/relationships/table" Target="../tables/table63.xml"/><Relationship Id="rId13" Type="http://schemas.openxmlformats.org/officeDocument/2006/relationships/table" Target="../tables/table74.xml"/><Relationship Id="rId12" Type="http://schemas.openxmlformats.org/officeDocument/2006/relationships/table" Target="../tables/table73.xml"/><Relationship Id="rId11" Type="http://schemas.openxmlformats.org/officeDocument/2006/relationships/table" Target="../tables/table72.xml"/><Relationship Id="rId10" Type="http://schemas.openxmlformats.org/officeDocument/2006/relationships/table" Target="../tables/table71.xml"/><Relationship Id="rId1" Type="http://schemas.openxmlformats.org/officeDocument/2006/relationships/table" Target="../tables/table62.xml"/></Relationships>
</file>

<file path=xl/worksheets/_rels/sheet7.xml.rels><?xml version="1.0" encoding="UTF-8" standalone="yes"?>
<Relationships xmlns="http://schemas.openxmlformats.org/package/2006/relationships"><Relationship Id="rId9" Type="http://schemas.openxmlformats.org/officeDocument/2006/relationships/table" Target="../tables/table83.xml"/><Relationship Id="rId8" Type="http://schemas.openxmlformats.org/officeDocument/2006/relationships/table" Target="../tables/table82.xml"/><Relationship Id="rId7" Type="http://schemas.openxmlformats.org/officeDocument/2006/relationships/table" Target="../tables/table81.xml"/><Relationship Id="rId6" Type="http://schemas.openxmlformats.org/officeDocument/2006/relationships/table" Target="../tables/table80.xml"/><Relationship Id="rId5" Type="http://schemas.openxmlformats.org/officeDocument/2006/relationships/table" Target="../tables/table79.xml"/><Relationship Id="rId4" Type="http://schemas.openxmlformats.org/officeDocument/2006/relationships/table" Target="../tables/table78.xml"/><Relationship Id="rId3" Type="http://schemas.openxmlformats.org/officeDocument/2006/relationships/table" Target="../tables/table77.xml"/><Relationship Id="rId2" Type="http://schemas.openxmlformats.org/officeDocument/2006/relationships/table" Target="../tables/table76.xml"/><Relationship Id="rId13" Type="http://schemas.openxmlformats.org/officeDocument/2006/relationships/table" Target="../tables/table87.xml"/><Relationship Id="rId12" Type="http://schemas.openxmlformats.org/officeDocument/2006/relationships/table" Target="../tables/table86.xml"/><Relationship Id="rId11" Type="http://schemas.openxmlformats.org/officeDocument/2006/relationships/table" Target="../tables/table85.xml"/><Relationship Id="rId10" Type="http://schemas.openxmlformats.org/officeDocument/2006/relationships/table" Target="../tables/table84.xml"/><Relationship Id="rId1" Type="http://schemas.openxmlformats.org/officeDocument/2006/relationships/table" Target="../tables/table75.xml"/></Relationships>
</file>

<file path=xl/worksheets/_rels/sheet9.xml.rels><?xml version="1.0" encoding="UTF-8" standalone="yes"?>
<Relationships xmlns="http://schemas.openxmlformats.org/package/2006/relationships"><Relationship Id="rId5" Type="http://schemas.openxmlformats.org/officeDocument/2006/relationships/table" Target="../tables/table92.xml"/><Relationship Id="rId4" Type="http://schemas.openxmlformats.org/officeDocument/2006/relationships/table" Target="../tables/table91.xml"/><Relationship Id="rId3" Type="http://schemas.openxmlformats.org/officeDocument/2006/relationships/table" Target="../tables/table90.xml"/><Relationship Id="rId2" Type="http://schemas.openxmlformats.org/officeDocument/2006/relationships/table" Target="../tables/table89.xml"/><Relationship Id="rId1" Type="http://schemas.openxmlformats.org/officeDocument/2006/relationships/table" Target="../tables/table88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4"/>
  <sheetViews>
    <sheetView showGridLines="0" workbookViewId="0">
      <selection activeCell="A1" sqref="A1:K1"/>
    </sheetView>
  </sheetViews>
  <sheetFormatPr defaultColWidth="9" defaultRowHeight="15"/>
  <cols>
    <col min="1" max="1025" width="9" customWidth="1"/>
  </cols>
  <sheetData>
    <row r="1" spans="1:11">
      <c r="A1" s="208" t="s">
        <v>0</v>
      </c>
      <c r="B1" s="208"/>
      <c r="C1" s="208"/>
      <c r="D1" s="208"/>
      <c r="E1" s="208"/>
      <c r="F1" s="208"/>
      <c r="G1" s="208"/>
      <c r="H1" s="208"/>
      <c r="I1" s="208"/>
      <c r="J1" s="208"/>
      <c r="K1" s="208"/>
    </row>
    <row r="2" ht="57" customHeight="1" spans="1:11">
      <c r="A2" s="209" t="s">
        <v>1</v>
      </c>
      <c r="B2" s="209"/>
      <c r="C2" s="209"/>
      <c r="D2" s="209"/>
      <c r="E2" s="209"/>
      <c r="F2" s="209"/>
      <c r="G2" s="209"/>
      <c r="H2" s="209"/>
      <c r="I2" s="209"/>
      <c r="J2" s="209"/>
      <c r="K2" s="209"/>
    </row>
    <row r="3" ht="51" customHeight="1" spans="1:11">
      <c r="A3" s="209" t="s">
        <v>2</v>
      </c>
      <c r="B3" s="209"/>
      <c r="C3" s="209"/>
      <c r="D3" s="209"/>
      <c r="E3" s="209"/>
      <c r="F3" s="209"/>
      <c r="G3" s="209"/>
      <c r="H3" s="209"/>
      <c r="I3" s="209"/>
      <c r="J3" s="209"/>
      <c r="K3" s="209"/>
    </row>
    <row r="4" ht="54.75" customHeight="1" spans="1:11">
      <c r="A4" s="209" t="s">
        <v>3</v>
      </c>
      <c r="B4" s="209"/>
      <c r="C4" s="209"/>
      <c r="D4" s="209"/>
      <c r="E4" s="209"/>
      <c r="F4" s="209"/>
      <c r="G4" s="209"/>
      <c r="H4" s="209"/>
      <c r="I4" s="209"/>
      <c r="J4" s="209"/>
      <c r="K4" s="209"/>
    </row>
    <row r="5" ht="67.5" customHeight="1" spans="1:11">
      <c r="A5" s="210" t="s">
        <v>4</v>
      </c>
      <c r="B5" s="210"/>
      <c r="C5" s="210"/>
      <c r="D5" s="210"/>
      <c r="E5" s="210"/>
      <c r="F5" s="210"/>
      <c r="G5" s="210"/>
      <c r="H5" s="210"/>
      <c r="I5" s="210"/>
      <c r="J5" s="210"/>
      <c r="K5" s="210"/>
    </row>
    <row r="6" ht="84.75" customHeight="1" spans="1:11">
      <c r="A6" s="210" t="s">
        <v>5</v>
      </c>
      <c r="B6" s="210"/>
      <c r="C6" s="210"/>
      <c r="D6" s="210"/>
      <c r="E6" s="210"/>
      <c r="F6" s="210"/>
      <c r="G6" s="210"/>
      <c r="H6" s="210"/>
      <c r="I6" s="210"/>
      <c r="J6" s="210"/>
      <c r="K6" s="210"/>
    </row>
    <row r="7" ht="49.5" customHeight="1" spans="1:11">
      <c r="A7" s="210" t="s">
        <v>6</v>
      </c>
      <c r="B7" s="210"/>
      <c r="C7" s="210"/>
      <c r="D7" s="210"/>
      <c r="E7" s="210"/>
      <c r="F7" s="210"/>
      <c r="G7" s="210"/>
      <c r="H7" s="210"/>
      <c r="I7" s="210"/>
      <c r="J7" s="210"/>
      <c r="K7" s="210"/>
    </row>
    <row r="8" ht="38.25" customHeight="1" spans="1:11">
      <c r="A8" s="210" t="s">
        <v>7</v>
      </c>
      <c r="B8" s="210"/>
      <c r="C8" s="210"/>
      <c r="D8" s="210"/>
      <c r="E8" s="210"/>
      <c r="F8" s="210"/>
      <c r="G8" s="210"/>
      <c r="H8" s="210"/>
      <c r="I8" s="210"/>
      <c r="J8" s="210"/>
      <c r="K8" s="210"/>
    </row>
    <row r="9" ht="39.75" customHeight="1" spans="1:11">
      <c r="A9" s="209" t="s">
        <v>8</v>
      </c>
      <c r="B9" s="209"/>
      <c r="C9" s="209"/>
      <c r="D9" s="209"/>
      <c r="E9" s="209"/>
      <c r="F9" s="209"/>
      <c r="G9" s="209"/>
      <c r="H9" s="209"/>
      <c r="I9" s="209"/>
      <c r="J9" s="209"/>
      <c r="K9" s="209"/>
    </row>
    <row r="10" ht="41.25" customHeight="1" spans="1:11">
      <c r="A10" s="209" t="s">
        <v>9</v>
      </c>
      <c r="B10" s="209"/>
      <c r="C10" s="209"/>
      <c r="D10" s="209"/>
      <c r="E10" s="209"/>
      <c r="F10" s="209"/>
      <c r="G10" s="209"/>
      <c r="H10" s="209"/>
      <c r="I10" s="209"/>
      <c r="J10" s="209"/>
      <c r="K10" s="209"/>
    </row>
    <row r="11" ht="41.25" customHeight="1" spans="1:11">
      <c r="A11" s="211" t="s">
        <v>10</v>
      </c>
      <c r="B11" s="211"/>
      <c r="C11" s="211"/>
      <c r="D11" s="211"/>
      <c r="E11" s="211"/>
      <c r="F11" s="211"/>
      <c r="G11" s="211"/>
      <c r="H11" s="211"/>
      <c r="I11" s="211"/>
      <c r="J11" s="211"/>
      <c r="K11" s="211"/>
    </row>
    <row r="12" spans="1:11">
      <c r="A12" s="212" t="s">
        <v>11</v>
      </c>
      <c r="B12" s="212"/>
      <c r="C12" s="212"/>
      <c r="D12" s="212"/>
      <c r="E12" s="212"/>
      <c r="F12" s="212"/>
      <c r="G12" s="212"/>
      <c r="H12" s="212"/>
      <c r="I12" s="212"/>
      <c r="J12" s="212"/>
      <c r="K12" s="212"/>
    </row>
    <row r="13" spans="1:11">
      <c r="A13" s="213" t="s">
        <v>12</v>
      </c>
      <c r="B13" s="213"/>
      <c r="C13" s="213"/>
      <c r="D13" s="213"/>
      <c r="E13" s="213"/>
      <c r="F13" s="213"/>
      <c r="G13" s="213"/>
      <c r="H13" s="213"/>
      <c r="I13" s="213"/>
      <c r="J13" s="213"/>
      <c r="K13" s="213"/>
    </row>
    <row r="14" spans="1:11">
      <c r="A14" s="213" t="s">
        <v>13</v>
      </c>
      <c r="B14" s="213"/>
      <c r="C14" s="213"/>
      <c r="D14" s="213"/>
      <c r="E14" s="213"/>
      <c r="F14" s="213"/>
      <c r="G14" s="213"/>
      <c r="H14" s="213"/>
      <c r="I14" s="213"/>
      <c r="J14" s="213"/>
      <c r="K14" s="213"/>
    </row>
  </sheetData>
  <sheetProtection sheet="1" objects="1" scenarios="1"/>
  <mergeCells count="14">
    <mergeCell ref="A1:K1"/>
    <mergeCell ref="A2:K2"/>
    <mergeCell ref="A3:K3"/>
    <mergeCell ref="A4:K4"/>
    <mergeCell ref="A5:K5"/>
    <mergeCell ref="A6:K6"/>
    <mergeCell ref="A7:K7"/>
    <mergeCell ref="A8:K8"/>
    <mergeCell ref="A9:K9"/>
    <mergeCell ref="A10:K10"/>
    <mergeCell ref="A11:K11"/>
    <mergeCell ref="A12:K12"/>
    <mergeCell ref="A13:K13"/>
    <mergeCell ref="A14:K14"/>
  </mergeCells>
  <pageMargins left="0.7" right="0.7" top="0.75" bottom="0.75" header="0.511805555555555" footer="0.511805555555555"/>
  <pageSetup paperSize="9" firstPageNumber="0" orientation="portrait" useFirstPageNumber="1" horizontalDpi="300" verticalDpi="300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6"/>
  <sheetViews>
    <sheetView workbookViewId="0">
      <selection activeCell="J9" sqref="J9"/>
    </sheetView>
  </sheetViews>
  <sheetFormatPr defaultColWidth="8.88571428571429" defaultRowHeight="15" outlineLevelRow="5" outlineLevelCol="6"/>
  <cols>
    <col min="2" max="2" width="20.6666666666667" customWidth="1"/>
    <col min="3" max="3" width="27" customWidth="1"/>
    <col min="4" max="4" width="12.2190476190476" customWidth="1"/>
    <col min="5" max="5" width="12.552380952381" customWidth="1"/>
    <col min="6" max="6" width="12.7809523809524" customWidth="1"/>
    <col min="7" max="7" width="12.552380952381" customWidth="1"/>
  </cols>
  <sheetData>
    <row r="1" spans="1:7">
      <c r="A1" s="15" t="s">
        <v>156</v>
      </c>
      <c r="B1" s="15"/>
      <c r="C1" s="15" t="s">
        <v>156</v>
      </c>
      <c r="D1" s="15"/>
      <c r="E1" s="15"/>
      <c r="F1" s="15"/>
      <c r="G1" s="15"/>
    </row>
    <row r="2" ht="45" spans="1:7">
      <c r="A2" s="5" t="s">
        <v>16</v>
      </c>
      <c r="B2" s="5" t="s">
        <v>319</v>
      </c>
      <c r="C2" s="5" t="s">
        <v>17</v>
      </c>
      <c r="D2" s="5" t="s">
        <v>320</v>
      </c>
      <c r="E2" s="5" t="s">
        <v>321</v>
      </c>
      <c r="F2" s="5" t="s">
        <v>322</v>
      </c>
      <c r="G2" s="5" t="s">
        <v>323</v>
      </c>
    </row>
    <row r="3" ht="60" spans="1:7">
      <c r="A3" s="16">
        <v>1</v>
      </c>
      <c r="B3" s="16" t="s">
        <v>324</v>
      </c>
      <c r="C3" s="17" t="s">
        <v>325</v>
      </c>
      <c r="D3" s="18">
        <v>23.23</v>
      </c>
      <c r="E3" s="19">
        <v>2</v>
      </c>
      <c r="F3" s="20">
        <f>Table43_2[[#This Row],[Quantidade Anual]]*Table43_2[[#This Row],[Valor Médio Unitário (R$)]]/2</f>
        <v>23.23</v>
      </c>
      <c r="G3" s="20">
        <f>Table43_2[[#This Row],[Valor Anual/ Empregado (R$)]]/12</f>
        <v>1.93583333333333</v>
      </c>
    </row>
    <row r="4" ht="90" spans="1:7">
      <c r="A4" s="16">
        <v>2</v>
      </c>
      <c r="B4" s="16" t="s">
        <v>326</v>
      </c>
      <c r="C4" s="17" t="s">
        <v>327</v>
      </c>
      <c r="D4" s="21">
        <v>0.52</v>
      </c>
      <c r="E4" s="19">
        <v>4</v>
      </c>
      <c r="F4" s="20">
        <f>Table43_2[[#This Row],[Quantidade Anual]]*Table43_2[[#This Row],[Valor Médio Unitário (R$)]]/2</f>
        <v>1.04</v>
      </c>
      <c r="G4" s="20">
        <f>Table43_2[[#This Row],[Valor Anual/ Empregado (R$)]]/12</f>
        <v>0.0866666666666667</v>
      </c>
    </row>
    <row r="5" ht="60" spans="1:7">
      <c r="A5" s="16">
        <v>3</v>
      </c>
      <c r="B5" s="22" t="s">
        <v>328</v>
      </c>
      <c r="C5" s="17" t="s">
        <v>329</v>
      </c>
      <c r="D5" s="21">
        <v>14.64</v>
      </c>
      <c r="E5" s="19">
        <v>1</v>
      </c>
      <c r="F5" s="20">
        <f>Table43_2[[#This Row],[Quantidade Anual]]*Table43_2[[#This Row],[Valor Médio Unitário (R$)]]/2</f>
        <v>7.32</v>
      </c>
      <c r="G5" s="20">
        <f>Table43_2[[#This Row],[Valor Anual/ Empregado (R$)]]/12</f>
        <v>0.61</v>
      </c>
    </row>
    <row r="6" spans="1:7">
      <c r="A6" s="23" t="s">
        <v>58</v>
      </c>
      <c r="B6" s="23"/>
      <c r="C6" s="23"/>
      <c r="D6" s="23"/>
      <c r="E6" s="23"/>
      <c r="F6" s="23"/>
      <c r="G6" s="24">
        <f>SUBTOTAL(109,Table43_2[Valor Mensal/ Empregado])</f>
        <v>2.6325</v>
      </c>
    </row>
  </sheetData>
  <mergeCells count="1">
    <mergeCell ref="A1:G1"/>
  </mergeCells>
  <pageMargins left="0.75" right="0.75" top="1" bottom="1" header="0.5" footer="0.5"/>
  <pageSetup paperSize="9" orientation="portrait"/>
  <headerFooter/>
  <tableParts count="1">
    <tablePart r:id="rId1"/>
  </tableParts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2"/>
  <sheetViews>
    <sheetView tabSelected="1" topLeftCell="A2" workbookViewId="0">
      <selection activeCell="B4" sqref="B4"/>
    </sheetView>
  </sheetViews>
  <sheetFormatPr defaultColWidth="8.88571428571429" defaultRowHeight="15" outlineLevelCol="6"/>
  <cols>
    <col min="1" max="1" width="8.88571428571429" style="1"/>
    <col min="2" max="2" width="32.552380952381" customWidth="1"/>
    <col min="3" max="3" width="9.33333333333333" customWidth="1"/>
    <col min="4" max="4" width="14.2190476190476" customWidth="1"/>
    <col min="5" max="5" width="13.3333333333333" customWidth="1"/>
    <col min="6" max="6" width="14.8857142857143" customWidth="1"/>
    <col min="7" max="7" width="15" customWidth="1"/>
  </cols>
  <sheetData>
    <row r="1" ht="15.75" spans="1:7">
      <c r="A1" s="2" t="s">
        <v>330</v>
      </c>
      <c r="B1" s="3"/>
      <c r="C1" s="3"/>
      <c r="D1" s="3"/>
      <c r="E1" s="3"/>
      <c r="F1" s="3"/>
      <c r="G1" s="4"/>
    </row>
    <row r="2" ht="60.75" spans="1:7">
      <c r="A2" s="5" t="s">
        <v>16</v>
      </c>
      <c r="B2" s="5" t="s">
        <v>17</v>
      </c>
      <c r="C2" s="5" t="s">
        <v>286</v>
      </c>
      <c r="D2" s="5" t="s">
        <v>331</v>
      </c>
      <c r="E2" s="5" t="s">
        <v>332</v>
      </c>
      <c r="F2" s="5" t="s">
        <v>333</v>
      </c>
      <c r="G2" s="5" t="s">
        <v>334</v>
      </c>
    </row>
    <row r="3" ht="90" spans="1:7">
      <c r="A3" s="5">
        <v>66</v>
      </c>
      <c r="B3" s="6" t="s">
        <v>335</v>
      </c>
      <c r="C3" s="5" t="s">
        <v>336</v>
      </c>
      <c r="D3" s="5">
        <v>5</v>
      </c>
      <c r="E3" s="5">
        <v>12</v>
      </c>
      <c r="F3" s="7">
        <f>'Recepcionista Secretário(a)'!D148</f>
        <v>3329.57</v>
      </c>
      <c r="G3" s="8">
        <f>(D3*F3)*(E3)</f>
        <v>199774.2</v>
      </c>
    </row>
    <row r="4" ht="90" spans="1:7">
      <c r="A4" s="5">
        <v>67</v>
      </c>
      <c r="B4" s="9" t="s">
        <v>337</v>
      </c>
      <c r="C4" s="5" t="s">
        <v>336</v>
      </c>
      <c r="D4" s="5">
        <v>1</v>
      </c>
      <c r="E4" s="5">
        <v>12</v>
      </c>
      <c r="F4" s="7">
        <f>'Téc. Saúde Bucal'!D148</f>
        <v>3916.6</v>
      </c>
      <c r="G4" s="8">
        <f>(D4*F4)*(E4)</f>
        <v>46999.2</v>
      </c>
    </row>
    <row r="5" ht="75" spans="1:7">
      <c r="A5" s="5">
        <v>68</v>
      </c>
      <c r="B5" s="6" t="s">
        <v>338</v>
      </c>
      <c r="C5" s="5" t="s">
        <v>336</v>
      </c>
      <c r="D5" s="10">
        <v>2</v>
      </c>
      <c r="E5" s="10">
        <v>12</v>
      </c>
      <c r="F5" s="8">
        <f>'Copeiro (a)'!D148</f>
        <v>3223.6</v>
      </c>
      <c r="G5" s="8">
        <f>(D5*F5)*(E5)</f>
        <v>77366.4</v>
      </c>
    </row>
    <row r="6" ht="120" spans="1:7">
      <c r="A6" s="10">
        <v>69</v>
      </c>
      <c r="B6" s="6" t="s">
        <v>339</v>
      </c>
      <c r="C6" s="5" t="s">
        <v>336</v>
      </c>
      <c r="D6" s="10">
        <v>2</v>
      </c>
      <c r="E6" s="10">
        <v>12</v>
      </c>
      <c r="F6" s="8">
        <f>Portaria!D149</f>
        <v>6895.7</v>
      </c>
      <c r="G6" s="8">
        <f>(D6*F6)*(E6)</f>
        <v>165496.8</v>
      </c>
    </row>
    <row r="7" ht="90" spans="1:7">
      <c r="A7" s="5">
        <v>70</v>
      </c>
      <c r="B7" s="6" t="s">
        <v>340</v>
      </c>
      <c r="C7" s="5" t="s">
        <v>336</v>
      </c>
      <c r="D7" s="10">
        <v>2</v>
      </c>
      <c r="E7" s="10">
        <v>12</v>
      </c>
      <c r="F7" s="8">
        <f>'Motorista Interestadual'!D147</f>
        <v>6444.12</v>
      </c>
      <c r="G7" s="8">
        <f>(D7*F7)*(E7)</f>
        <v>154658.88</v>
      </c>
    </row>
    <row r="8" ht="20" customHeight="1" spans="1:7">
      <c r="A8" s="5">
        <v>71</v>
      </c>
      <c r="B8" s="11" t="s">
        <v>341</v>
      </c>
      <c r="C8" s="5" t="s">
        <v>342</v>
      </c>
      <c r="D8" s="10">
        <v>200</v>
      </c>
      <c r="E8" s="10">
        <v>12</v>
      </c>
      <c r="F8" s="8">
        <f>Diárias!E19</f>
        <v>190.91</v>
      </c>
      <c r="G8" s="8">
        <f>(D8*F8)</f>
        <v>38182</v>
      </c>
    </row>
    <row r="9" spans="1:7">
      <c r="A9" s="10" t="s">
        <v>204</v>
      </c>
      <c r="B9" s="12"/>
      <c r="C9" s="12"/>
      <c r="D9" s="12"/>
      <c r="E9" s="12"/>
      <c r="F9" s="12"/>
      <c r="G9" s="13">
        <f>SUM(G3:G8)</f>
        <v>682477.48</v>
      </c>
    </row>
    <row r="10" spans="1:7">
      <c r="A10" s="10"/>
      <c r="B10" s="14"/>
      <c r="C10" s="14"/>
      <c r="D10" s="14"/>
      <c r="E10" s="14"/>
      <c r="F10" s="14"/>
      <c r="G10" s="14"/>
    </row>
    <row r="11" spans="1:7">
      <c r="A11" s="10"/>
      <c r="B11" s="12"/>
      <c r="C11" s="12"/>
      <c r="D11" s="12"/>
      <c r="E11" s="12"/>
      <c r="F11" s="12"/>
      <c r="G11" s="12"/>
    </row>
    <row r="12" spans="1:7">
      <c r="A12" s="10"/>
      <c r="B12" s="12"/>
      <c r="C12" s="12"/>
      <c r="D12" s="12"/>
      <c r="E12" s="12"/>
      <c r="F12" s="12"/>
      <c r="G12" s="12"/>
    </row>
  </sheetData>
  <mergeCells count="1">
    <mergeCell ref="A1:G1"/>
  </mergeCells>
  <pageMargins left="0.75" right="0.75" top="1" bottom="1" header="0.5" footer="0.5"/>
  <pageSetup paperSize="9" orientation="landscape"/>
  <headerFooter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U148"/>
  <sheetViews>
    <sheetView showGridLines="0" zoomScale="85" zoomScaleNormal="85" workbookViewId="0">
      <selection activeCell="A1" sqref="A1:D1"/>
    </sheetView>
  </sheetViews>
  <sheetFormatPr defaultColWidth="9" defaultRowHeight="15"/>
  <cols>
    <col min="1" max="1" width="12.4190476190476" customWidth="1"/>
    <col min="2" max="2" width="76.4095238095238" customWidth="1"/>
    <col min="3" max="3" width="28.4190476190476" customWidth="1"/>
    <col min="4" max="4" width="27.4190476190476" customWidth="1"/>
    <col min="5" max="5" width="9" customWidth="1"/>
    <col min="6" max="6" width="32.7142857142857" customWidth="1"/>
    <col min="7" max="7" width="13.0190476190476" customWidth="1"/>
    <col min="8" max="1025" width="9" customWidth="1"/>
  </cols>
  <sheetData>
    <row r="1" spans="1:21">
      <c r="A1" s="195" t="s">
        <v>14</v>
      </c>
      <c r="B1" s="195"/>
      <c r="C1" s="195"/>
      <c r="D1" s="195"/>
      <c r="F1" s="126" t="s">
        <v>15</v>
      </c>
      <c r="G1" s="126"/>
      <c r="H1" s="138"/>
      <c r="I1" s="138"/>
      <c r="J1" s="138"/>
      <c r="K1" s="138"/>
      <c r="L1" s="138"/>
      <c r="M1" s="138"/>
      <c r="N1" s="138"/>
      <c r="O1" s="138"/>
      <c r="P1" s="138"/>
      <c r="Q1" s="138"/>
      <c r="R1" s="138"/>
      <c r="S1" s="138"/>
      <c r="T1" s="138"/>
      <c r="U1" s="138"/>
    </row>
    <row r="2" spans="1:21">
      <c r="A2" s="128" t="s">
        <v>16</v>
      </c>
      <c r="B2" t="s">
        <v>17</v>
      </c>
      <c r="C2" s="128" t="s">
        <v>18</v>
      </c>
      <c r="D2" s="128" t="s">
        <v>19</v>
      </c>
      <c r="F2" s="133" t="s">
        <v>17</v>
      </c>
      <c r="G2" s="133" t="s">
        <v>19</v>
      </c>
      <c r="H2" s="138"/>
      <c r="I2" s="138"/>
      <c r="J2" s="138"/>
      <c r="K2" s="138"/>
      <c r="L2" s="138"/>
      <c r="M2" s="138"/>
      <c r="N2" s="138"/>
      <c r="O2" s="138"/>
      <c r="P2" s="138"/>
      <c r="Q2" s="138"/>
      <c r="R2" s="138"/>
      <c r="S2" s="138"/>
      <c r="T2" s="138"/>
      <c r="U2" s="138"/>
    </row>
    <row r="3" spans="1:21">
      <c r="A3" s="128">
        <v>1</v>
      </c>
      <c r="B3" t="s">
        <v>20</v>
      </c>
      <c r="C3" s="128"/>
      <c r="D3" s="128" t="s">
        <v>21</v>
      </c>
      <c r="F3" t="s">
        <v>22</v>
      </c>
      <c r="G3" s="196">
        <v>0</v>
      </c>
      <c r="H3" s="138"/>
      <c r="I3" s="138"/>
      <c r="J3" s="138"/>
      <c r="K3" s="138"/>
      <c r="L3" s="138"/>
      <c r="M3" s="138"/>
      <c r="N3" s="138"/>
      <c r="O3" s="138"/>
      <c r="P3" s="138"/>
      <c r="Q3" s="138"/>
      <c r="R3" s="138"/>
      <c r="S3" s="138"/>
      <c r="T3" s="138"/>
      <c r="U3" s="138"/>
    </row>
    <row r="4" spans="1:21">
      <c r="A4" s="128">
        <v>2</v>
      </c>
      <c r="B4" t="s">
        <v>23</v>
      </c>
      <c r="C4" s="128"/>
      <c r="D4" s="128" t="s">
        <v>24</v>
      </c>
      <c r="F4" t="s">
        <v>25</v>
      </c>
      <c r="G4" s="196">
        <v>12</v>
      </c>
      <c r="H4" s="138"/>
      <c r="I4" s="138"/>
      <c r="J4" s="138"/>
      <c r="K4" s="138"/>
      <c r="L4" s="138"/>
      <c r="M4" s="138"/>
      <c r="N4" s="138"/>
      <c r="O4" s="138"/>
      <c r="P4" s="138"/>
      <c r="Q4" s="138"/>
      <c r="R4" s="138"/>
      <c r="S4" s="138"/>
      <c r="T4" s="138"/>
      <c r="U4" s="138"/>
    </row>
    <row r="5" spans="1:21">
      <c r="A5" s="128">
        <v>3</v>
      </c>
      <c r="B5" t="s">
        <v>26</v>
      </c>
      <c r="C5" s="128" t="s">
        <v>27</v>
      </c>
      <c r="D5" s="197">
        <v>998</v>
      </c>
      <c r="F5" t="s">
        <v>28</v>
      </c>
      <c r="G5" s="129">
        <v>22</v>
      </c>
      <c r="H5" s="138"/>
      <c r="I5" s="138"/>
      <c r="J5" s="138"/>
      <c r="K5" s="138"/>
      <c r="L5" s="138"/>
      <c r="M5" s="138"/>
      <c r="N5" s="138"/>
      <c r="O5" s="138"/>
      <c r="P5" s="138"/>
      <c r="Q5" s="138"/>
      <c r="R5" s="138"/>
      <c r="S5" s="138"/>
      <c r="T5" s="138"/>
      <c r="U5" s="138"/>
    </row>
    <row r="6" spans="1:21">
      <c r="A6" s="128">
        <v>4</v>
      </c>
      <c r="B6" t="s">
        <v>29</v>
      </c>
      <c r="C6" s="128" t="s">
        <v>30</v>
      </c>
      <c r="D6" s="128" t="s">
        <v>31</v>
      </c>
      <c r="F6" t="s">
        <v>32</v>
      </c>
      <c r="G6" s="198">
        <v>0.03</v>
      </c>
      <c r="H6" s="138"/>
      <c r="I6" s="138"/>
      <c r="J6" s="138"/>
      <c r="K6" s="138"/>
      <c r="L6" s="138"/>
      <c r="M6" s="138"/>
      <c r="N6" s="138"/>
      <c r="O6" s="138"/>
      <c r="P6" s="138"/>
      <c r="Q6" s="138"/>
      <c r="R6" s="138"/>
      <c r="S6" s="138"/>
      <c r="T6" s="138"/>
      <c r="U6" s="138"/>
    </row>
    <row r="7" spans="1:21">
      <c r="A7" s="128">
        <v>5</v>
      </c>
      <c r="B7" t="s">
        <v>33</v>
      </c>
      <c r="C7" s="128"/>
      <c r="D7" s="128" t="s">
        <v>34</v>
      </c>
      <c r="H7" s="138"/>
      <c r="I7" s="138"/>
      <c r="J7" s="138"/>
      <c r="K7" s="138"/>
      <c r="L7" s="138"/>
      <c r="M7" s="138"/>
      <c r="N7" s="138"/>
      <c r="O7" s="138"/>
      <c r="P7" s="138"/>
      <c r="Q7" s="138"/>
      <c r="R7" s="138"/>
      <c r="S7" s="138"/>
      <c r="T7" s="138"/>
      <c r="U7" s="138"/>
    </row>
    <row r="8" spans="6:21">
      <c r="F8" s="126" t="s">
        <v>35</v>
      </c>
      <c r="G8" s="126"/>
      <c r="H8" s="138"/>
      <c r="I8" s="138"/>
      <c r="J8" s="138"/>
      <c r="K8" s="138"/>
      <c r="L8" s="138"/>
      <c r="M8" s="138"/>
      <c r="N8" s="138"/>
      <c r="O8" s="138"/>
      <c r="P8" s="138"/>
      <c r="Q8" s="138"/>
      <c r="R8" s="138"/>
      <c r="S8" s="138"/>
      <c r="T8" s="138"/>
      <c r="U8" s="138"/>
    </row>
    <row r="9" spans="1:21">
      <c r="A9" s="110" t="s">
        <v>36</v>
      </c>
      <c r="B9" s="110"/>
      <c r="C9" s="110"/>
      <c r="D9" s="110"/>
      <c r="F9" s="133" t="s">
        <v>37</v>
      </c>
      <c r="G9" s="133" t="s">
        <v>38</v>
      </c>
      <c r="H9" s="138"/>
      <c r="I9" s="138"/>
      <c r="J9" s="138"/>
      <c r="K9" s="138"/>
      <c r="L9" s="138"/>
      <c r="M9" s="138"/>
      <c r="N9" s="138"/>
      <c r="O9" s="138"/>
      <c r="P9" s="138"/>
      <c r="Q9" s="138"/>
      <c r="R9" s="138"/>
      <c r="S9" s="138"/>
      <c r="T9" s="138"/>
      <c r="U9" s="138"/>
    </row>
    <row r="10" spans="1:21">
      <c r="A10" s="128" t="s">
        <v>39</v>
      </c>
      <c r="B10" s="133" t="s">
        <v>40</v>
      </c>
      <c r="C10" s="128" t="s">
        <v>18</v>
      </c>
      <c r="D10" s="128" t="s">
        <v>19</v>
      </c>
      <c r="F10" t="s">
        <v>41</v>
      </c>
      <c r="G10" s="179">
        <v>0.4337</v>
      </c>
      <c r="H10" s="138"/>
      <c r="I10" s="138"/>
      <c r="J10" s="138"/>
      <c r="K10" s="138"/>
      <c r="L10" s="138"/>
      <c r="M10" s="138"/>
      <c r="N10" s="138"/>
      <c r="O10" s="138"/>
      <c r="P10" s="138"/>
      <c r="Q10" s="138"/>
      <c r="R10" s="138"/>
      <c r="S10" s="138"/>
      <c r="T10" s="138"/>
      <c r="U10" s="138"/>
    </row>
    <row r="11" spans="1:21">
      <c r="A11" s="128" t="s">
        <v>42</v>
      </c>
      <c r="B11" t="s">
        <v>43</v>
      </c>
      <c r="C11" s="128"/>
      <c r="D11" s="135">
        <f>Salário_Normativo_da_Categoria_Profissional</f>
        <v>998</v>
      </c>
      <c r="F11" t="s">
        <v>44</v>
      </c>
      <c r="G11" s="179">
        <v>0.4337</v>
      </c>
      <c r="H11" s="138"/>
      <c r="I11" s="138"/>
      <c r="J11" s="138"/>
      <c r="K11" s="138"/>
      <c r="L11" s="138"/>
      <c r="M11" s="138"/>
      <c r="N11" s="138"/>
      <c r="O11" s="138"/>
      <c r="P11" s="138"/>
      <c r="Q11" s="138"/>
      <c r="R11" s="138"/>
      <c r="S11" s="138"/>
      <c r="T11" s="138"/>
      <c r="U11" s="138"/>
    </row>
    <row r="12" spans="1:21">
      <c r="A12" s="128" t="s">
        <v>45</v>
      </c>
      <c r="B12" t="s">
        <v>46</v>
      </c>
      <c r="C12" s="128"/>
      <c r="D12" s="135"/>
      <c r="F12" t="s">
        <v>47</v>
      </c>
      <c r="G12" s="179">
        <v>0.0218</v>
      </c>
      <c r="H12" s="138"/>
      <c r="I12" s="138"/>
      <c r="J12" s="138"/>
      <c r="K12" s="138"/>
      <c r="L12" s="138"/>
      <c r="M12" s="138"/>
      <c r="N12" s="138"/>
      <c r="O12" s="138"/>
      <c r="P12" s="138"/>
      <c r="Q12" s="138"/>
      <c r="R12" s="138"/>
      <c r="S12" s="138"/>
      <c r="T12" s="138"/>
      <c r="U12" s="138"/>
    </row>
    <row r="13" spans="1:21">
      <c r="A13" s="128" t="s">
        <v>48</v>
      </c>
      <c r="B13" t="s">
        <v>49</v>
      </c>
      <c r="C13" s="128"/>
      <c r="D13" s="135"/>
      <c r="H13" s="138"/>
      <c r="I13" s="138"/>
      <c r="J13" s="138"/>
      <c r="K13" s="138"/>
      <c r="L13" s="138"/>
      <c r="M13" s="138"/>
      <c r="N13" s="138"/>
      <c r="O13" s="138"/>
      <c r="P13" s="138"/>
      <c r="Q13" s="138"/>
      <c r="R13" s="138"/>
      <c r="S13" s="138"/>
      <c r="T13" s="138"/>
      <c r="U13" s="138"/>
    </row>
    <row r="14" spans="1:21">
      <c r="A14" s="128" t="s">
        <v>50</v>
      </c>
      <c r="B14" t="s">
        <v>51</v>
      </c>
      <c r="C14" s="128"/>
      <c r="D14" s="135"/>
      <c r="F14" s="126" t="s">
        <v>52</v>
      </c>
      <c r="G14" s="126"/>
      <c r="H14" s="138"/>
      <c r="I14" s="138"/>
      <c r="J14" s="138"/>
      <c r="K14" s="138"/>
      <c r="L14" s="138"/>
      <c r="M14" s="138"/>
      <c r="N14" s="138"/>
      <c r="O14" s="138"/>
      <c r="P14" s="138"/>
      <c r="Q14" s="138"/>
      <c r="R14" s="138"/>
      <c r="S14" s="138"/>
      <c r="T14" s="138"/>
      <c r="U14" s="138"/>
    </row>
    <row r="15" spans="1:21">
      <c r="A15" s="128" t="s">
        <v>53</v>
      </c>
      <c r="B15" t="s">
        <v>54</v>
      </c>
      <c r="C15" s="128"/>
      <c r="D15" s="135"/>
      <c r="F15" s="199" t="s">
        <v>17</v>
      </c>
      <c r="G15" s="199" t="s">
        <v>38</v>
      </c>
      <c r="H15" s="138"/>
      <c r="I15" s="138"/>
      <c r="J15" s="138"/>
      <c r="K15" s="138"/>
      <c r="L15" s="138"/>
      <c r="M15" s="138"/>
      <c r="N15" s="138"/>
      <c r="O15" s="138"/>
      <c r="P15" s="138"/>
      <c r="Q15" s="138"/>
      <c r="R15" s="138"/>
      <c r="S15" s="138"/>
      <c r="T15" s="138"/>
      <c r="U15" s="138"/>
    </row>
    <row r="16" spans="1:21">
      <c r="A16" s="128" t="s">
        <v>55</v>
      </c>
      <c r="B16" t="s">
        <v>56</v>
      </c>
      <c r="C16" s="128"/>
      <c r="D16" s="135"/>
      <c r="F16" s="138" t="s">
        <v>57</v>
      </c>
      <c r="G16" s="200">
        <v>0.0471</v>
      </c>
      <c r="H16" s="138"/>
      <c r="I16" s="138"/>
      <c r="J16" s="138"/>
      <c r="K16" s="138"/>
      <c r="L16" s="138"/>
      <c r="M16" s="138"/>
      <c r="N16" s="138"/>
      <c r="O16" s="138"/>
      <c r="P16" s="138"/>
      <c r="Q16" s="138"/>
      <c r="R16" s="138"/>
      <c r="S16" s="138"/>
      <c r="T16" s="138"/>
      <c r="U16" s="138"/>
    </row>
    <row r="17" spans="1:21">
      <c r="A17" s="128" t="s">
        <v>58</v>
      </c>
      <c r="C17" s="128"/>
      <c r="D17" s="135">
        <f>SUBTOTAL(109,Módulo1[Valor])</f>
        <v>998</v>
      </c>
      <c r="F17" s="138" t="s">
        <v>59</v>
      </c>
      <c r="G17" s="200">
        <v>0.0467</v>
      </c>
      <c r="H17" s="138"/>
      <c r="I17" s="138"/>
      <c r="J17" s="138"/>
      <c r="K17" s="138"/>
      <c r="L17" s="138"/>
      <c r="M17" s="138"/>
      <c r="N17" s="138"/>
      <c r="O17" s="138"/>
      <c r="P17" s="138"/>
      <c r="Q17" s="138"/>
      <c r="R17" s="138"/>
      <c r="S17" s="138"/>
      <c r="T17" s="138"/>
      <c r="U17" s="138"/>
    </row>
    <row r="18" spans="6:21">
      <c r="F18" s="138" t="s">
        <v>60</v>
      </c>
      <c r="G18" s="201">
        <v>0.0165</v>
      </c>
      <c r="H18" s="138"/>
      <c r="I18" s="138"/>
      <c r="J18" s="138"/>
      <c r="K18" s="138"/>
      <c r="L18" s="138"/>
      <c r="M18" s="138"/>
      <c r="N18" s="138"/>
      <c r="O18" s="138"/>
      <c r="P18" s="138"/>
      <c r="Q18" s="138"/>
      <c r="R18" s="138"/>
      <c r="S18" s="138"/>
      <c r="T18" s="138"/>
      <c r="U18" s="138"/>
    </row>
    <row r="19" spans="1:21">
      <c r="A19" s="136" t="s">
        <v>61</v>
      </c>
      <c r="B19" s="136"/>
      <c r="C19" s="136"/>
      <c r="D19" s="136"/>
      <c r="F19" s="138" t="s">
        <v>62</v>
      </c>
      <c r="G19" s="201">
        <v>0.076</v>
      </c>
      <c r="H19" s="138"/>
      <c r="I19" s="138"/>
      <c r="J19" s="138"/>
      <c r="K19" s="138"/>
      <c r="L19" s="138"/>
      <c r="M19" s="138"/>
      <c r="N19" s="138"/>
      <c r="O19" s="138"/>
      <c r="P19" s="138"/>
      <c r="Q19" s="138"/>
      <c r="R19" s="138"/>
      <c r="S19" s="138"/>
      <c r="T19" s="138"/>
      <c r="U19" s="138"/>
    </row>
    <row r="20" spans="1:21">
      <c r="A20" s="126" t="s">
        <v>63</v>
      </c>
      <c r="B20" s="126"/>
      <c r="C20" s="126"/>
      <c r="D20" s="126"/>
      <c r="F20" s="138" t="s">
        <v>64</v>
      </c>
      <c r="G20" s="201">
        <v>0.05</v>
      </c>
      <c r="H20" s="138"/>
      <c r="I20" s="138"/>
      <c r="J20" s="138"/>
      <c r="K20" s="138"/>
      <c r="L20" s="138"/>
      <c r="M20" s="138"/>
      <c r="N20" s="138"/>
      <c r="O20" s="138"/>
      <c r="P20" s="138"/>
      <c r="Q20" s="138"/>
      <c r="R20" s="138"/>
      <c r="S20" s="138"/>
      <c r="T20" s="138"/>
      <c r="U20" s="138"/>
    </row>
    <row r="21" spans="1:21">
      <c r="A21" s="128" t="s">
        <v>65</v>
      </c>
      <c r="B21" s="133" t="s">
        <v>66</v>
      </c>
      <c r="C21" s="128" t="s">
        <v>18</v>
      </c>
      <c r="D21" s="128" t="s">
        <v>19</v>
      </c>
      <c r="F21" s="138"/>
      <c r="G21" s="138"/>
      <c r="H21" s="138"/>
      <c r="I21" s="138"/>
      <c r="J21" s="138"/>
      <c r="K21" s="138"/>
      <c r="L21" s="138"/>
      <c r="M21" s="138"/>
      <c r="N21" s="138"/>
      <c r="O21" s="138"/>
      <c r="P21" s="138"/>
      <c r="Q21" s="138"/>
      <c r="R21" s="138"/>
      <c r="S21" s="138"/>
      <c r="T21" s="138"/>
      <c r="U21" s="138"/>
    </row>
    <row r="22" spans="1:21">
      <c r="A22" s="128" t="s">
        <v>42</v>
      </c>
      <c r="B22" t="s">
        <v>67</v>
      </c>
      <c r="D22" s="135">
        <f>Módulo1[[#Totals],[Valor]]/12</f>
        <v>83.1666666666667</v>
      </c>
      <c r="F22" s="138"/>
      <c r="G22" s="138"/>
      <c r="H22" s="138"/>
      <c r="I22" s="138"/>
      <c r="J22" s="138"/>
      <c r="K22" s="138"/>
      <c r="L22" s="138"/>
      <c r="M22" s="138"/>
      <c r="N22" s="138"/>
      <c r="O22" s="138"/>
      <c r="P22" s="138"/>
      <c r="Q22" s="138"/>
      <c r="R22" s="138"/>
      <c r="S22" s="138"/>
      <c r="T22" s="138"/>
      <c r="U22" s="138"/>
    </row>
    <row r="23" spans="1:21">
      <c r="A23" s="128" t="s">
        <v>45</v>
      </c>
      <c r="B23" t="s">
        <v>68</v>
      </c>
      <c r="D23" s="135">
        <f>(Módulo1[[#Totals],[Valor]]/12)*(1+(1/3))</f>
        <v>110.888888888889</v>
      </c>
      <c r="F23" s="138"/>
      <c r="G23" s="138"/>
      <c r="H23" s="138"/>
      <c r="I23" s="138"/>
      <c r="J23" s="138"/>
      <c r="K23" s="138"/>
      <c r="L23" s="138"/>
      <c r="M23" s="138"/>
      <c r="N23" s="138"/>
      <c r="O23" s="138"/>
      <c r="P23" s="138"/>
      <c r="Q23" s="138"/>
      <c r="R23" s="138"/>
      <c r="S23" s="138"/>
      <c r="T23" s="138"/>
      <c r="U23" s="138"/>
    </row>
    <row r="24" spans="1:21">
      <c r="A24" s="128" t="s">
        <v>58</v>
      </c>
      <c r="D24" s="135">
        <f>SUBTOTAL(109,Submódulo2.1[Valor])</f>
        <v>194.055555555556</v>
      </c>
      <c r="F24" s="138"/>
      <c r="G24" s="138"/>
      <c r="H24" s="138"/>
      <c r="I24" s="138"/>
      <c r="J24" s="138"/>
      <c r="K24" s="138"/>
      <c r="L24" s="138"/>
      <c r="M24" s="138"/>
      <c r="N24" s="138"/>
      <c r="O24" s="138"/>
      <c r="P24" s="138"/>
      <c r="Q24" s="138"/>
      <c r="R24" s="138"/>
      <c r="S24" s="138"/>
      <c r="T24" s="138"/>
      <c r="U24" s="138"/>
    </row>
    <row r="25" spans="1:21">
      <c r="A25" s="128"/>
      <c r="D25" s="135"/>
      <c r="F25" s="138"/>
      <c r="G25" s="138"/>
      <c r="H25" s="138"/>
      <c r="I25" s="138"/>
      <c r="J25" s="138"/>
      <c r="K25" s="138"/>
      <c r="L25" s="138"/>
      <c r="M25" s="138"/>
      <c r="N25" s="138"/>
      <c r="O25" s="138"/>
      <c r="P25" s="138"/>
      <c r="Q25" s="138"/>
      <c r="R25" s="138"/>
      <c r="S25" s="138"/>
      <c r="T25" s="138"/>
      <c r="U25" s="138"/>
    </row>
    <row r="26" spans="1:21">
      <c r="A26" s="127" t="s">
        <v>69</v>
      </c>
      <c r="B26" s="127"/>
      <c r="C26" s="127"/>
      <c r="D26" s="127"/>
      <c r="F26" s="138"/>
      <c r="G26" s="138"/>
      <c r="H26" s="138"/>
      <c r="I26" s="138"/>
      <c r="J26" s="138"/>
      <c r="K26" s="138"/>
      <c r="L26" s="138"/>
      <c r="M26" s="138"/>
      <c r="N26" s="138"/>
      <c r="O26" s="138"/>
      <c r="P26" s="138"/>
      <c r="Q26" s="138"/>
      <c r="R26" s="138"/>
      <c r="S26" s="138"/>
      <c r="T26" s="138"/>
      <c r="U26" s="138"/>
    </row>
    <row r="27" spans="1:21">
      <c r="A27" s="127" t="s">
        <v>16</v>
      </c>
      <c r="B27" s="127" t="s">
        <v>70</v>
      </c>
      <c r="C27" s="127" t="s">
        <v>71</v>
      </c>
      <c r="D27" s="202" t="s">
        <v>72</v>
      </c>
      <c r="F27" s="138"/>
      <c r="G27" s="138"/>
      <c r="H27" s="138"/>
      <c r="I27" s="138"/>
      <c r="J27" s="138"/>
      <c r="K27" s="138"/>
      <c r="L27" s="138"/>
      <c r="M27" s="138"/>
      <c r="N27" s="138"/>
      <c r="O27" s="138"/>
      <c r="P27" s="138"/>
      <c r="Q27" s="138"/>
      <c r="R27" s="138"/>
      <c r="S27" s="138"/>
      <c r="T27" s="138"/>
      <c r="U27" s="138"/>
    </row>
    <row r="28" ht="30" spans="1:21">
      <c r="A28" s="147" t="s">
        <v>42</v>
      </c>
      <c r="B28" s="203" t="s">
        <v>73</v>
      </c>
      <c r="C28" s="204" t="s">
        <v>74</v>
      </c>
      <c r="D28" s="203" t="s">
        <v>75</v>
      </c>
      <c r="F28" s="138"/>
      <c r="G28" s="138"/>
      <c r="H28" s="138"/>
      <c r="I28" s="138"/>
      <c r="J28" s="138"/>
      <c r="K28" s="138"/>
      <c r="L28" s="138"/>
      <c r="M28" s="138"/>
      <c r="N28" s="138"/>
      <c r="O28" s="138"/>
      <c r="P28" s="138"/>
      <c r="Q28" s="138"/>
      <c r="R28" s="138"/>
      <c r="S28" s="138"/>
      <c r="T28" s="138"/>
      <c r="U28" s="138"/>
    </row>
    <row r="29" ht="30" spans="1:21">
      <c r="A29" s="147" t="s">
        <v>45</v>
      </c>
      <c r="B29" s="205" t="s">
        <v>68</v>
      </c>
      <c r="C29" s="204" t="s">
        <v>74</v>
      </c>
      <c r="D29" s="203" t="s">
        <v>76</v>
      </c>
      <c r="F29" s="138"/>
      <c r="G29" s="138"/>
      <c r="H29" s="138"/>
      <c r="I29" s="138"/>
      <c r="J29" s="138"/>
      <c r="K29" s="138"/>
      <c r="L29" s="138"/>
      <c r="M29" s="138"/>
      <c r="N29" s="138"/>
      <c r="O29" s="138"/>
      <c r="P29" s="138"/>
      <c r="Q29" s="138"/>
      <c r="R29" s="138"/>
      <c r="S29" s="138"/>
      <c r="T29" s="138"/>
      <c r="U29" s="138"/>
    </row>
    <row r="30" spans="1:21">
      <c r="A30" s="128"/>
      <c r="B30" s="128"/>
      <c r="C30" s="158"/>
      <c r="F30" s="138"/>
      <c r="G30" s="138"/>
      <c r="H30" s="138"/>
      <c r="I30" s="138"/>
      <c r="J30" s="138"/>
      <c r="K30" s="138"/>
      <c r="L30" s="138"/>
      <c r="M30" s="138"/>
      <c r="N30" s="138"/>
      <c r="O30" s="138"/>
      <c r="P30" s="138"/>
      <c r="Q30" s="138"/>
      <c r="R30" s="138"/>
      <c r="S30" s="138"/>
      <c r="T30" s="138"/>
      <c r="U30" s="138"/>
    </row>
    <row r="31" spans="1:4">
      <c r="A31" s="126" t="s">
        <v>77</v>
      </c>
      <c r="B31" s="126"/>
      <c r="C31" s="126"/>
      <c r="D31" s="126"/>
    </row>
    <row r="32" spans="1:4">
      <c r="A32" s="128" t="s">
        <v>78</v>
      </c>
      <c r="B32" s="133" t="s">
        <v>79</v>
      </c>
      <c r="C32" s="128" t="s">
        <v>38</v>
      </c>
      <c r="D32" s="128" t="s">
        <v>80</v>
      </c>
    </row>
    <row r="33" spans="1:4">
      <c r="A33" s="128" t="s">
        <v>42</v>
      </c>
      <c r="B33" t="s">
        <v>81</v>
      </c>
      <c r="C33" s="137">
        <v>0.2</v>
      </c>
      <c r="D33" s="135">
        <f>C33*(Módulo1[[#Totals],[Valor]]+Submódulo2.1[[#Totals],[Valor]])</f>
        <v>238.411111111111</v>
      </c>
    </row>
    <row r="34" spans="1:4">
      <c r="A34" s="128" t="s">
        <v>45</v>
      </c>
      <c r="B34" t="s">
        <v>82</v>
      </c>
      <c r="C34" s="137">
        <v>0.025</v>
      </c>
      <c r="D34" s="135">
        <f>C34*(Módulo1[[#Totals],[Valor]]+Submódulo2.1[[#Totals],[Valor]])</f>
        <v>29.8013888888889</v>
      </c>
    </row>
    <row r="35" spans="1:4">
      <c r="A35" s="128" t="s">
        <v>48</v>
      </c>
      <c r="B35" t="s">
        <v>83</v>
      </c>
      <c r="C35" s="137">
        <f>Servente!G6</f>
        <v>0.03</v>
      </c>
      <c r="D35" s="135">
        <f>C35*(Módulo1[[#Totals],[Valor]]+Submódulo2.1[[#Totals],[Valor]])</f>
        <v>35.7616666666667</v>
      </c>
    </row>
    <row r="36" spans="1:4">
      <c r="A36" s="128" t="s">
        <v>50</v>
      </c>
      <c r="B36" t="s">
        <v>84</v>
      </c>
      <c r="C36" s="137">
        <v>0.015</v>
      </c>
      <c r="D36" s="135">
        <f>C36*(Módulo1[[#Totals],[Valor]]+Submódulo2.1[[#Totals],[Valor]])</f>
        <v>17.8808333333333</v>
      </c>
    </row>
    <row r="37" spans="1:4">
      <c r="A37" s="128" t="s">
        <v>53</v>
      </c>
      <c r="B37" t="s">
        <v>85</v>
      </c>
      <c r="C37" s="137">
        <v>0.01</v>
      </c>
      <c r="D37" s="135">
        <f>C37*(Módulo1[[#Totals],[Valor]]+Submódulo2.1[[#Totals],[Valor]])</f>
        <v>11.9205555555556</v>
      </c>
    </row>
    <row r="38" spans="1:4">
      <c r="A38" s="128" t="s">
        <v>55</v>
      </c>
      <c r="B38" t="s">
        <v>86</v>
      </c>
      <c r="C38" s="137">
        <v>0.006</v>
      </c>
      <c r="D38" s="135">
        <f>C38*(Módulo1[[#Totals],[Valor]]+Submódulo2.1[[#Totals],[Valor]])</f>
        <v>7.15233333333333</v>
      </c>
    </row>
    <row r="39" spans="1:4">
      <c r="A39" s="128" t="s">
        <v>87</v>
      </c>
      <c r="B39" t="s">
        <v>88</v>
      </c>
      <c r="C39" s="137">
        <v>0.002</v>
      </c>
      <c r="D39" s="135">
        <f>C39*(Módulo1[[#Totals],[Valor]]+Submódulo2.1[[#Totals],[Valor]])</f>
        <v>2.38411111111111</v>
      </c>
    </row>
    <row r="40" spans="1:4">
      <c r="A40" s="128" t="s">
        <v>89</v>
      </c>
      <c r="B40" t="s">
        <v>90</v>
      </c>
      <c r="C40" s="137">
        <v>0.08</v>
      </c>
      <c r="D40" s="135">
        <f>C40*(Módulo1[[#Totals],[Valor]]+Submódulo2.1[[#Totals],[Valor]])</f>
        <v>95.3644444444445</v>
      </c>
    </row>
    <row r="41" spans="1:4">
      <c r="A41" s="128" t="s">
        <v>58</v>
      </c>
      <c r="C41" s="144">
        <f>SUBTOTAL(109,Submódulo2.2[Percentual])</f>
        <v>0.368</v>
      </c>
      <c r="D41" s="135">
        <f>SUBTOTAL(109,Submódulo2.2[Valor ])</f>
        <v>438.676444444444</v>
      </c>
    </row>
    <row r="42" spans="1:4">
      <c r="A42" s="128"/>
      <c r="C42" s="144"/>
      <c r="D42" s="135"/>
    </row>
    <row r="43" spans="1:4">
      <c r="A43" s="127" t="s">
        <v>91</v>
      </c>
      <c r="B43" s="127"/>
      <c r="C43" s="127"/>
      <c r="D43" s="127"/>
    </row>
    <row r="44" spans="1:4">
      <c r="A44" s="127" t="s">
        <v>16</v>
      </c>
      <c r="B44" s="127" t="s">
        <v>70</v>
      </c>
      <c r="C44" s="127" t="s">
        <v>71</v>
      </c>
      <c r="D44" s="202" t="s">
        <v>72</v>
      </c>
    </row>
    <row r="45" ht="30" spans="1:4">
      <c r="A45" s="147" t="s">
        <v>92</v>
      </c>
      <c r="B45" s="203" t="s">
        <v>79</v>
      </c>
      <c r="C45" s="203" t="s">
        <v>93</v>
      </c>
      <c r="D45" s="203" t="s">
        <v>94</v>
      </c>
    </row>
    <row r="47" spans="1:4">
      <c r="A47" s="126" t="s">
        <v>95</v>
      </c>
      <c r="B47" s="126"/>
      <c r="C47" s="126"/>
      <c r="D47" s="126"/>
    </row>
    <row r="48" spans="1:4">
      <c r="A48" s="128" t="s">
        <v>96</v>
      </c>
      <c r="B48" s="133" t="s">
        <v>97</v>
      </c>
      <c r="C48" s="128" t="s">
        <v>18</v>
      </c>
      <c r="D48" s="128" t="s">
        <v>19</v>
      </c>
    </row>
    <row r="49" spans="1:4">
      <c r="A49" s="128" t="s">
        <v>42</v>
      </c>
      <c r="B49" t="s">
        <v>98</v>
      </c>
      <c r="D49" s="135">
        <f>IF(G3=0,0,(Servente!G3*2*Servente!G5)-(6%*_1A))</f>
        <v>0</v>
      </c>
    </row>
    <row r="50" spans="1:4">
      <c r="A50" s="128" t="s">
        <v>45</v>
      </c>
      <c r="B50" t="s">
        <v>99</v>
      </c>
      <c r="D50" s="135">
        <f>(Servente!G4*Servente!G5)*80%</f>
        <v>211.2</v>
      </c>
    </row>
    <row r="51" spans="1:4">
      <c r="A51" s="128" t="s">
        <v>48</v>
      </c>
      <c r="B51" t="s">
        <v>100</v>
      </c>
      <c r="D51" s="135"/>
    </row>
    <row r="52" spans="1:4">
      <c r="A52" s="128" t="s">
        <v>50</v>
      </c>
      <c r="B52" t="s">
        <v>56</v>
      </c>
      <c r="D52" s="135"/>
    </row>
    <row r="53" spans="1:4">
      <c r="A53" s="128" t="s">
        <v>58</v>
      </c>
      <c r="D53" s="135">
        <v>211.2</v>
      </c>
    </row>
    <row r="54" spans="1:4">
      <c r="A54" s="128"/>
      <c r="D54" s="135"/>
    </row>
    <row r="55" spans="1:4">
      <c r="A55" s="127" t="s">
        <v>101</v>
      </c>
      <c r="B55" s="127"/>
      <c r="C55" s="127"/>
      <c r="D55" s="127"/>
    </row>
    <row r="56" spans="1:4">
      <c r="A56" s="127" t="s">
        <v>16</v>
      </c>
      <c r="B56" s="127" t="s">
        <v>70</v>
      </c>
      <c r="C56" s="127" t="s">
        <v>71</v>
      </c>
      <c r="D56" s="127" t="s">
        <v>72</v>
      </c>
    </row>
    <row r="57" ht="45" spans="1:4">
      <c r="A57" s="147" t="s">
        <v>42</v>
      </c>
      <c r="B57" s="203" t="s">
        <v>98</v>
      </c>
      <c r="C57" s="204" t="s">
        <v>102</v>
      </c>
      <c r="D57" s="204" t="s">
        <v>103</v>
      </c>
    </row>
    <row r="58" ht="30" spans="1:4">
      <c r="A58" s="147" t="s">
        <v>45</v>
      </c>
      <c r="B58" s="205" t="s">
        <v>99</v>
      </c>
      <c r="C58" s="204" t="s">
        <v>102</v>
      </c>
      <c r="D58" s="204" t="s">
        <v>104</v>
      </c>
    </row>
    <row r="59" ht="19.5" customHeight="1" spans="1:4">
      <c r="A59" s="128"/>
      <c r="D59" s="135"/>
    </row>
    <row r="60" spans="1:4">
      <c r="A60" s="126" t="s">
        <v>105</v>
      </c>
      <c r="B60" s="126"/>
      <c r="C60" s="126"/>
      <c r="D60" s="126"/>
    </row>
    <row r="61" spans="1:4">
      <c r="A61" s="128" t="s">
        <v>106</v>
      </c>
      <c r="B61" s="133" t="s">
        <v>107</v>
      </c>
      <c r="C61" s="128" t="s">
        <v>18</v>
      </c>
      <c r="D61" s="128" t="s">
        <v>19</v>
      </c>
    </row>
    <row r="62" spans="1:4">
      <c r="A62" s="128" t="s">
        <v>65</v>
      </c>
      <c r="B62" t="s">
        <v>66</v>
      </c>
      <c r="C62" s="128"/>
      <c r="D62" s="135">
        <f>Submódulo2.1[[#Totals],[Valor]]</f>
        <v>194.055555555556</v>
      </c>
    </row>
    <row r="63" spans="1:4">
      <c r="A63" s="128" t="s">
        <v>78</v>
      </c>
      <c r="B63" t="s">
        <v>79</v>
      </c>
      <c r="C63" s="128"/>
      <c r="D63" s="135">
        <f>Submódulo2.2[[#Totals],[Valor ]]</f>
        <v>438.676444444444</v>
      </c>
    </row>
    <row r="64" spans="1:4">
      <c r="A64" s="128" t="s">
        <v>96</v>
      </c>
      <c r="B64" t="s">
        <v>97</v>
      </c>
      <c r="C64" s="128"/>
      <c r="D64" s="135">
        <f>Submódulo2.3[[#Totals],[Valor]]</f>
        <v>211.2</v>
      </c>
    </row>
    <row r="65" spans="1:4">
      <c r="A65" s="128" t="s">
        <v>58</v>
      </c>
      <c r="C65" s="128"/>
      <c r="D65" s="135">
        <v>843.932</v>
      </c>
    </row>
    <row r="67" spans="1:4">
      <c r="A67" s="110" t="s">
        <v>108</v>
      </c>
      <c r="B67" s="110"/>
      <c r="C67" s="110"/>
      <c r="D67" s="110"/>
    </row>
    <row r="68" spans="1:4">
      <c r="A68" s="128" t="s">
        <v>109</v>
      </c>
      <c r="B68" s="133" t="s">
        <v>110</v>
      </c>
      <c r="C68" s="128" t="s">
        <v>18</v>
      </c>
      <c r="D68" s="128" t="s">
        <v>19</v>
      </c>
    </row>
    <row r="69" spans="1:4">
      <c r="A69" s="128" t="s">
        <v>42</v>
      </c>
      <c r="B69" t="s">
        <v>111</v>
      </c>
      <c r="D69" s="135">
        <f>((Módulo1[[#Totals],[Valor]]+D62+D64)/12)*Servente!G10</f>
        <v>50.715994537037</v>
      </c>
    </row>
    <row r="70" spans="1:4">
      <c r="A70" s="128" t="s">
        <v>45</v>
      </c>
      <c r="B70" t="s">
        <v>112</v>
      </c>
      <c r="D70" s="135">
        <f>(D40/12)*Servente!G10</f>
        <v>3.44662996296296</v>
      </c>
    </row>
    <row r="71" spans="1:4">
      <c r="A71" s="128" t="s">
        <v>48</v>
      </c>
      <c r="B71" t="s">
        <v>113</v>
      </c>
      <c r="D71" s="135">
        <f>D40*50%*Servente!G10</f>
        <v>20.6797797777778</v>
      </c>
    </row>
    <row r="72" spans="1:4">
      <c r="A72" s="128" t="s">
        <v>50</v>
      </c>
      <c r="B72" t="s">
        <v>114</v>
      </c>
      <c r="D72" s="135">
        <f>((Módulo1[[#Totals],[Valor]]+ResumoMódulo2[[#Totals],[Valor]])/12)*Servente!G11</f>
        <v>66.5704923666667</v>
      </c>
    </row>
    <row r="73" spans="1:4">
      <c r="A73" s="128" t="s">
        <v>53</v>
      </c>
      <c r="B73" t="s">
        <v>115</v>
      </c>
      <c r="D73" s="135">
        <f>D40*50%*Servente!G11</f>
        <v>20.6797797777778</v>
      </c>
    </row>
    <row r="74" spans="1:4">
      <c r="A74" s="128" t="s">
        <v>55</v>
      </c>
      <c r="B74" t="s">
        <v>116</v>
      </c>
      <c r="D74" s="135">
        <f>-D62*Servente!G12</f>
        <v>-4.23041111111111</v>
      </c>
    </row>
    <row r="75" spans="1:4">
      <c r="A75" s="128" t="s">
        <v>58</v>
      </c>
      <c r="D75" s="135">
        <f>SUBTOTAL(109,Módulo3[Valor])</f>
        <v>157.862265311111</v>
      </c>
    </row>
    <row r="76" spans="1:4">
      <c r="A76" s="128"/>
      <c r="D76" s="135"/>
    </row>
    <row r="77" spans="1:4">
      <c r="A77" s="127" t="s">
        <v>117</v>
      </c>
      <c r="B77" s="127"/>
      <c r="C77" s="127"/>
      <c r="D77" s="127"/>
    </row>
    <row r="78" spans="1:4">
      <c r="A78" s="127" t="s">
        <v>16</v>
      </c>
      <c r="B78" s="127" t="s">
        <v>70</v>
      </c>
      <c r="C78" s="127" t="s">
        <v>71</v>
      </c>
      <c r="D78" s="127" t="s">
        <v>72</v>
      </c>
    </row>
    <row r="79" ht="60" spans="1:4">
      <c r="A79" s="147" t="s">
        <v>42</v>
      </c>
      <c r="B79" s="203" t="s">
        <v>111</v>
      </c>
      <c r="C79" s="204" t="s">
        <v>118</v>
      </c>
      <c r="D79" s="204" t="s">
        <v>119</v>
      </c>
    </row>
    <row r="80" ht="60" spans="1:4">
      <c r="A80" s="147" t="s">
        <v>45</v>
      </c>
      <c r="B80" s="205" t="s">
        <v>112</v>
      </c>
      <c r="C80" s="204" t="s">
        <v>120</v>
      </c>
      <c r="D80" s="204" t="s">
        <v>119</v>
      </c>
    </row>
    <row r="81" ht="75" spans="1:4">
      <c r="A81" s="147" t="s">
        <v>48</v>
      </c>
      <c r="B81" s="205" t="s">
        <v>113</v>
      </c>
      <c r="C81" s="204" t="s">
        <v>120</v>
      </c>
      <c r="D81" s="206" t="s">
        <v>121</v>
      </c>
    </row>
    <row r="82" ht="60" spans="1:4">
      <c r="A82" s="147" t="s">
        <v>50</v>
      </c>
      <c r="B82" s="148" t="s">
        <v>114</v>
      </c>
      <c r="C82" s="204" t="s">
        <v>122</v>
      </c>
      <c r="D82" s="206" t="s">
        <v>123</v>
      </c>
    </row>
    <row r="83" ht="75" spans="1:4">
      <c r="A83" s="147" t="s">
        <v>53</v>
      </c>
      <c r="B83" s="148" t="s">
        <v>115</v>
      </c>
      <c r="C83" s="204" t="s">
        <v>120</v>
      </c>
      <c r="D83" s="206" t="s">
        <v>124</v>
      </c>
    </row>
    <row r="84" ht="60" spans="1:4">
      <c r="A84" s="147" t="s">
        <v>55</v>
      </c>
      <c r="B84" s="148" t="s">
        <v>116</v>
      </c>
      <c r="C84" s="204" t="s">
        <v>125</v>
      </c>
      <c r="D84" s="206" t="s">
        <v>126</v>
      </c>
    </row>
    <row r="86" customHeight="1" spans="1:4">
      <c r="A86" s="156" t="s">
        <v>127</v>
      </c>
      <c r="B86" s="156"/>
      <c r="C86" s="156"/>
      <c r="D86" s="156"/>
    </row>
    <row r="87" spans="1:4">
      <c r="A87" s="126" t="s">
        <v>128</v>
      </c>
      <c r="B87" s="126"/>
      <c r="C87" s="126"/>
      <c r="D87" s="126"/>
    </row>
    <row r="88" spans="1:4">
      <c r="A88" s="128" t="s">
        <v>129</v>
      </c>
      <c r="B88" s="133" t="s">
        <v>130</v>
      </c>
      <c r="C88" s="128" t="s">
        <v>131</v>
      </c>
      <c r="D88" s="128" t="s">
        <v>19</v>
      </c>
    </row>
    <row r="89" spans="1:4">
      <c r="A89" s="128" t="s">
        <v>42</v>
      </c>
      <c r="B89" t="s">
        <v>132</v>
      </c>
      <c r="C89" s="128">
        <v>20.71</v>
      </c>
      <c r="D89" s="135">
        <f>(((Módulo1[[#Totals],[Valor]]+ResumoMódulo2[[#Totals],[Valor]]+Módulo3[[#Totals],[Valor]])/30)*C89)/12</f>
        <v>115.043720096092</v>
      </c>
    </row>
    <row r="90" spans="1:4">
      <c r="A90" s="128" t="s">
        <v>45</v>
      </c>
      <c r="B90" t="s">
        <v>133</v>
      </c>
      <c r="C90" s="128">
        <v>1.4181</v>
      </c>
      <c r="D90" s="135">
        <f>(((Módulo1[[#Totals],[Valor]]+ResumoMódulo2[[#Totals],[Valor]]+Módulo3[[#Totals],[Valor]])/30)*C90)/12</f>
        <v>7.87752291010468</v>
      </c>
    </row>
    <row r="91" spans="1:4">
      <c r="A91" s="128" t="s">
        <v>48</v>
      </c>
      <c r="B91" t="s">
        <v>134</v>
      </c>
      <c r="C91" s="128">
        <v>0.1898</v>
      </c>
      <c r="D91" s="135">
        <f>(((Módulo1[[#Totals],[Valor]]+ResumoMódulo2[[#Totals],[Valor]]+Módulo3[[#Totals],[Valor]])/30)*C91)/12</f>
        <v>1.05433597654458</v>
      </c>
    </row>
    <row r="92" spans="1:4">
      <c r="A92" s="128" t="s">
        <v>50</v>
      </c>
      <c r="B92" t="s">
        <v>135</v>
      </c>
      <c r="C92" s="128">
        <v>0.9545</v>
      </c>
      <c r="D92" s="135">
        <f>(((Módulo1[[#Totals],[Valor]]+ResumoMódulo2[[#Totals],[Valor]]+Módulo3[[#Totals],[Valor]])/30)*C92)/12</f>
        <v>5.3022322951096</v>
      </c>
    </row>
    <row r="93" spans="1:4">
      <c r="A93" s="128" t="s">
        <v>53</v>
      </c>
      <c r="B93" t="s">
        <v>136</v>
      </c>
      <c r="C93" s="128">
        <v>2.4723</v>
      </c>
      <c r="D93" s="135">
        <f>(((Módulo1[[#Totals],[Valor]]+ResumoMódulo2[[#Totals],[Valor]]+Módulo3[[#Totals],[Valor]])/30)*C93)/12</f>
        <v>13.7335871170241</v>
      </c>
    </row>
    <row r="94" spans="1:4">
      <c r="A94" s="128" t="s">
        <v>55</v>
      </c>
      <c r="B94" t="s">
        <v>137</v>
      </c>
      <c r="C94" s="128">
        <v>3.4521</v>
      </c>
      <c r="D94" s="135">
        <f>(((Módulo1[[#Totals],[Valor]]+ResumoMódulo2[[#Totals],[Valor]]+Módulo3[[#Totals],[Valor]])/30)*C94)/12</f>
        <v>19.1763605091125</v>
      </c>
    </row>
    <row r="95" spans="1:4">
      <c r="A95" s="128" t="s">
        <v>58</v>
      </c>
      <c r="C95" s="128">
        <f>SUBTOTAL(109,Submódulo4.1[Dias de ausência])</f>
        <v>29.1968</v>
      </c>
      <c r="D95" s="135">
        <f>SUBTOTAL(109,Submódulo4.1[Valor])</f>
        <v>162.187758903987</v>
      </c>
    </row>
    <row r="96" spans="1:4">
      <c r="A96" s="128"/>
      <c r="C96" s="128"/>
      <c r="D96" s="135"/>
    </row>
    <row r="97" spans="1:4">
      <c r="A97" s="127" t="s">
        <v>138</v>
      </c>
      <c r="B97" s="127"/>
      <c r="C97" s="127"/>
      <c r="D97" s="127"/>
    </row>
    <row r="98" spans="1:4">
      <c r="A98" s="127" t="s">
        <v>16</v>
      </c>
      <c r="B98" s="127" t="s">
        <v>70</v>
      </c>
      <c r="C98" s="127" t="s">
        <v>71</v>
      </c>
      <c r="D98" s="127" t="s">
        <v>72</v>
      </c>
    </row>
    <row r="99" spans="1:4">
      <c r="A99" s="147" t="s">
        <v>139</v>
      </c>
      <c r="B99" s="203" t="s">
        <v>140</v>
      </c>
      <c r="C99" s="204"/>
      <c r="D99" s="204"/>
    </row>
    <row r="100" ht="45" spans="1:4">
      <c r="A100" s="147" t="s">
        <v>139</v>
      </c>
      <c r="B100" s="205" t="s">
        <v>141</v>
      </c>
      <c r="C100" s="204" t="s">
        <v>142</v>
      </c>
      <c r="D100" s="204" t="s">
        <v>143</v>
      </c>
    </row>
    <row r="101" spans="1:4">
      <c r="A101" s="128"/>
      <c r="C101" s="128"/>
      <c r="D101" s="135"/>
    </row>
    <row r="102" spans="1:4">
      <c r="A102" s="126" t="s">
        <v>144</v>
      </c>
      <c r="B102" s="126"/>
      <c r="C102" s="126"/>
      <c r="D102" s="126"/>
    </row>
    <row r="103" spans="1:4">
      <c r="A103" s="128" t="s">
        <v>145</v>
      </c>
      <c r="B103" s="133" t="s">
        <v>146</v>
      </c>
      <c r="C103" s="128" t="s">
        <v>18</v>
      </c>
      <c r="D103" s="128" t="s">
        <v>19</v>
      </c>
    </row>
    <row r="104" spans="1:4">
      <c r="A104" s="128" t="s">
        <v>42</v>
      </c>
      <c r="B104" t="s">
        <v>147</v>
      </c>
      <c r="C104" s="128"/>
      <c r="D104" s="135"/>
    </row>
    <row r="105" spans="1:4">
      <c r="A105" s="128" t="s">
        <v>58</v>
      </c>
      <c r="C105" s="128"/>
      <c r="D105" s="135">
        <f>SUBTOTAL(109,Submódulo4.2[Valor])</f>
        <v>0</v>
      </c>
    </row>
    <row r="107" spans="1:4">
      <c r="A107" s="126" t="s">
        <v>148</v>
      </c>
      <c r="B107" s="126"/>
      <c r="C107" s="126"/>
      <c r="D107" s="126"/>
    </row>
    <row r="108" spans="1:4">
      <c r="A108" s="128" t="s">
        <v>149</v>
      </c>
      <c r="B108" s="133" t="s">
        <v>150</v>
      </c>
      <c r="C108" s="128" t="s">
        <v>18</v>
      </c>
      <c r="D108" s="128" t="s">
        <v>19</v>
      </c>
    </row>
    <row r="109" spans="1:4">
      <c r="A109" s="128" t="s">
        <v>129</v>
      </c>
      <c r="B109" t="s">
        <v>130</v>
      </c>
      <c r="D109" s="135">
        <f>Submódulo4.1[[#Totals],[Valor]]</f>
        <v>162.187758903987</v>
      </c>
    </row>
    <row r="110" spans="1:4">
      <c r="A110" s="128" t="s">
        <v>145</v>
      </c>
      <c r="B110" t="s">
        <v>151</v>
      </c>
      <c r="D110" s="135">
        <f>Submódulo4.2[[#Totals],[Valor]]</f>
        <v>0</v>
      </c>
    </row>
    <row r="111" spans="1:4">
      <c r="A111" s="128" t="s">
        <v>58</v>
      </c>
      <c r="D111" s="135">
        <f>SUBTOTAL(109,ResumoMódulo4[Valor])</f>
        <v>162.187758903987</v>
      </c>
    </row>
    <row r="113" spans="1:4">
      <c r="A113" s="110" t="s">
        <v>152</v>
      </c>
      <c r="B113" s="110"/>
      <c r="C113" s="110"/>
      <c r="D113" s="110"/>
    </row>
    <row r="114" spans="1:4">
      <c r="A114" s="128" t="s">
        <v>153</v>
      </c>
      <c r="B114" s="133" t="s">
        <v>154</v>
      </c>
      <c r="C114" s="128" t="s">
        <v>18</v>
      </c>
      <c r="D114" s="128" t="s">
        <v>19</v>
      </c>
    </row>
    <row r="115" spans="1:4">
      <c r="A115" s="128" t="s">
        <v>42</v>
      </c>
      <c r="B115" t="s">
        <v>155</v>
      </c>
      <c r="D115" s="135" t="e">
        <f>#REF!</f>
        <v>#REF!</v>
      </c>
    </row>
    <row r="116" spans="1:4">
      <c r="A116" s="128" t="s">
        <v>45</v>
      </c>
      <c r="B116" t="s">
        <v>156</v>
      </c>
      <c r="D116" s="135" t="e">
        <f>#REF!/#REF!</f>
        <v>#REF!</v>
      </c>
    </row>
    <row r="117" spans="1:4">
      <c r="A117" s="128" t="s">
        <v>48</v>
      </c>
      <c r="B117" t="s">
        <v>157</v>
      </c>
      <c r="D117" s="135" t="e">
        <f>#REF!/#REF!</f>
        <v>#REF!</v>
      </c>
    </row>
    <row r="118" spans="1:4">
      <c r="A118" s="128" t="s">
        <v>50</v>
      </c>
      <c r="B118" t="s">
        <v>158</v>
      </c>
      <c r="D118" s="135"/>
    </row>
    <row r="119" spans="1:4">
      <c r="A119" s="128" t="s">
        <v>58</v>
      </c>
      <c r="D119" s="135" t="e">
        <f>SUBTOTAL(109,Módulo5[Valor])</f>
        <v>#REF!</v>
      </c>
    </row>
    <row r="120" spans="1:4">
      <c r="A120" s="128"/>
      <c r="D120" s="135"/>
    </row>
    <row r="121" spans="1:4">
      <c r="A121" s="127" t="s">
        <v>159</v>
      </c>
      <c r="B121" s="127"/>
      <c r="C121" s="127"/>
      <c r="D121" s="127"/>
    </row>
    <row r="122" spans="1:4">
      <c r="A122" s="127" t="s">
        <v>16</v>
      </c>
      <c r="B122" s="127" t="s">
        <v>70</v>
      </c>
      <c r="C122" s="127" t="s">
        <v>71</v>
      </c>
      <c r="D122" s="127" t="s">
        <v>72</v>
      </c>
    </row>
    <row r="123" spans="1:4">
      <c r="A123" s="147" t="s">
        <v>42</v>
      </c>
      <c r="B123" s="203" t="s">
        <v>155</v>
      </c>
      <c r="C123" s="204" t="s">
        <v>160</v>
      </c>
      <c r="D123" s="204"/>
    </row>
    <row r="124" ht="30" spans="1:4">
      <c r="A124" s="147" t="s">
        <v>45</v>
      </c>
      <c r="B124" s="205" t="s">
        <v>156</v>
      </c>
      <c r="C124" s="204" t="s">
        <v>161</v>
      </c>
      <c r="D124" s="204" t="s">
        <v>162</v>
      </c>
    </row>
    <row r="125" ht="30" spans="1:4">
      <c r="A125" s="147" t="s">
        <v>48</v>
      </c>
      <c r="B125" s="205" t="s">
        <v>157</v>
      </c>
      <c r="C125" s="204" t="s">
        <v>163</v>
      </c>
      <c r="D125" s="204" t="s">
        <v>162</v>
      </c>
    </row>
    <row r="126" spans="1:4">
      <c r="A126" s="147" t="s">
        <v>50</v>
      </c>
      <c r="B126" s="205" t="s">
        <v>158</v>
      </c>
      <c r="C126" s="204"/>
      <c r="D126" s="204"/>
    </row>
    <row r="128" spans="1:4">
      <c r="A128" s="110" t="s">
        <v>164</v>
      </c>
      <c r="B128" s="110"/>
      <c r="C128" s="110"/>
      <c r="D128" s="110"/>
    </row>
    <row r="129" outlineLevel="1" spans="1:4">
      <c r="A129" s="128" t="s">
        <v>165</v>
      </c>
      <c r="B129" t="s">
        <v>166</v>
      </c>
      <c r="C129" s="128" t="s">
        <v>38</v>
      </c>
      <c r="D129" s="128" t="s">
        <v>19</v>
      </c>
    </row>
    <row r="130" outlineLevel="1" spans="1:4">
      <c r="A130" s="128" t="s">
        <v>42</v>
      </c>
      <c r="B130" t="s">
        <v>167</v>
      </c>
      <c r="C130" s="137">
        <f>G16</f>
        <v>0.0471</v>
      </c>
      <c r="D130" s="135" t="e">
        <f>Módulo6[[#This Row],[Percentual]]*(D141+D142+D143+D144+D145)</f>
        <v>#REF!</v>
      </c>
    </row>
    <row r="131" outlineLevel="1" spans="1:4">
      <c r="A131" s="128" t="s">
        <v>45</v>
      </c>
      <c r="B131" t="s">
        <v>59</v>
      </c>
      <c r="C131" s="137">
        <f>G17</f>
        <v>0.0467</v>
      </c>
      <c r="D131" s="135" t="e">
        <f>(SUM(D141:D145)+D130)*Módulo6[[#This Row],[Percentual]]</f>
        <v>#REF!</v>
      </c>
    </row>
    <row r="132" spans="1:4">
      <c r="A132" s="128" t="s">
        <v>48</v>
      </c>
      <c r="B132" t="s">
        <v>168</v>
      </c>
      <c r="C132" s="137">
        <f>SUM(C133:C135)</f>
        <v>0.1425</v>
      </c>
      <c r="D132" s="135" t="e">
        <f>Módulo6[[#This Row],[Percentual]]*D148</f>
        <v>#REF!</v>
      </c>
    </row>
    <row r="133" spans="1:4">
      <c r="A133" s="128" t="s">
        <v>169</v>
      </c>
      <c r="B133" t="s">
        <v>60</v>
      </c>
      <c r="C133" s="137">
        <f>G18</f>
        <v>0.0165</v>
      </c>
      <c r="D133" s="135" t="e">
        <f>Módulo6[[#This Row],[Percentual]]*D148</f>
        <v>#REF!</v>
      </c>
    </row>
    <row r="134" spans="1:4">
      <c r="A134" s="128" t="s">
        <v>170</v>
      </c>
      <c r="B134" t="s">
        <v>62</v>
      </c>
      <c r="C134" s="137">
        <f>G19</f>
        <v>0.076</v>
      </c>
      <c r="D134" s="135" t="e">
        <f>Módulo6[[#This Row],[Percentual]]*D148</f>
        <v>#REF!</v>
      </c>
    </row>
    <row r="135" spans="1:4">
      <c r="A135" s="128" t="s">
        <v>171</v>
      </c>
      <c r="B135" t="s">
        <v>64</v>
      </c>
      <c r="C135" s="137">
        <f>G20</f>
        <v>0.05</v>
      </c>
      <c r="D135" s="135" t="e">
        <f>Módulo6[[#This Row],[Percentual]]*D148</f>
        <v>#REF!</v>
      </c>
    </row>
    <row r="136" spans="1:4">
      <c r="A136" s="128" t="s">
        <v>58</v>
      </c>
      <c r="C136" s="173"/>
      <c r="D136" s="135" t="e">
        <f>SUM(D130:D132)</f>
        <v>#REF!</v>
      </c>
    </row>
    <row r="137" spans="1:4">
      <c r="A137" s="128"/>
      <c r="C137" s="173"/>
      <c r="D137" s="135"/>
    </row>
    <row r="139" spans="1:4">
      <c r="A139" s="110" t="s">
        <v>172</v>
      </c>
      <c r="B139" s="110"/>
      <c r="C139" s="110"/>
      <c r="D139" s="110"/>
    </row>
    <row r="140" spans="1:4">
      <c r="A140" s="128" t="s">
        <v>16</v>
      </c>
      <c r="B140" s="128" t="s">
        <v>173</v>
      </c>
      <c r="C140" s="128" t="s">
        <v>102</v>
      </c>
      <c r="D140" s="128" t="s">
        <v>19</v>
      </c>
    </row>
    <row r="141" spans="1:4">
      <c r="A141" s="128" t="s">
        <v>42</v>
      </c>
      <c r="B141" t="s">
        <v>36</v>
      </c>
      <c r="D141" s="135">
        <f>Módulo1[[#Totals],[Valor]]</f>
        <v>998</v>
      </c>
    </row>
    <row r="142" spans="1:4">
      <c r="A142" s="128" t="s">
        <v>45</v>
      </c>
      <c r="B142" t="s">
        <v>61</v>
      </c>
      <c r="D142" s="135">
        <f>ResumoMódulo2[[#Totals],[Valor]]</f>
        <v>843.932</v>
      </c>
    </row>
    <row r="143" spans="1:4">
      <c r="A143" s="128" t="s">
        <v>48</v>
      </c>
      <c r="B143" t="s">
        <v>108</v>
      </c>
      <c r="D143" s="135">
        <f>Módulo3[[#Totals],[Valor]]</f>
        <v>157.862265311111</v>
      </c>
    </row>
    <row r="144" spans="1:4">
      <c r="A144" s="128" t="s">
        <v>50</v>
      </c>
      <c r="B144" t="s">
        <v>174</v>
      </c>
      <c r="D144" s="135">
        <f>ResumoMódulo4[[#Totals],[Valor]]</f>
        <v>162.187758903987</v>
      </c>
    </row>
    <row r="145" spans="1:4">
      <c r="A145" s="128" t="s">
        <v>53</v>
      </c>
      <c r="B145" t="s">
        <v>152</v>
      </c>
      <c r="D145" s="135" t="e">
        <f>Módulo5[[#Totals],[Valor]]</f>
        <v>#REF!</v>
      </c>
    </row>
    <row r="146" spans="1:4">
      <c r="A146" t="s">
        <v>175</v>
      </c>
      <c r="D146" s="135" t="e">
        <f>SUM(D141:D145)</f>
        <v>#REF!</v>
      </c>
    </row>
    <row r="147" spans="1:4">
      <c r="A147" s="128" t="s">
        <v>55</v>
      </c>
      <c r="B147" t="s">
        <v>164</v>
      </c>
      <c r="D147" s="135" t="e">
        <f>Módulo6[[#Totals],[Valor]]</f>
        <v>#REF!</v>
      </c>
    </row>
    <row r="148" spans="1:4">
      <c r="A148" s="175" t="s">
        <v>176</v>
      </c>
      <c r="B148" s="175"/>
      <c r="C148" s="175"/>
      <c r="D148" s="207" t="e">
        <f>(SUM(D141:D145)+D130+D131)/(100%-C132)</f>
        <v>#REF!</v>
      </c>
    </row>
  </sheetData>
  <mergeCells count="24">
    <mergeCell ref="A1:D1"/>
    <mergeCell ref="F1:G1"/>
    <mergeCell ref="F8:G8"/>
    <mergeCell ref="A9:D9"/>
    <mergeCell ref="F14:G14"/>
    <mergeCell ref="A19:D19"/>
    <mergeCell ref="A20:D20"/>
    <mergeCell ref="A26:D26"/>
    <mergeCell ref="A31:D31"/>
    <mergeCell ref="A43:D43"/>
    <mergeCell ref="A47:D47"/>
    <mergeCell ref="A55:D55"/>
    <mergeCell ref="A60:D60"/>
    <mergeCell ref="A67:D67"/>
    <mergeCell ref="A77:D77"/>
    <mergeCell ref="A86:D86"/>
    <mergeCell ref="A87:D87"/>
    <mergeCell ref="A97:D97"/>
    <mergeCell ref="A102:D102"/>
    <mergeCell ref="A107:D107"/>
    <mergeCell ref="A113:D113"/>
    <mergeCell ref="A121:D121"/>
    <mergeCell ref="A128:D128"/>
    <mergeCell ref="A139:D139"/>
  </mergeCells>
  <pageMargins left="0.7" right="0.7" top="0.75" bottom="0.75" header="0.511805555555555" footer="0.511805555555555"/>
  <pageSetup paperSize="9" scale="43" firstPageNumber="0" fitToHeight="0" orientation="portrait" useFirstPageNumber="1" horizontalDpi="300" verticalDpi="300"/>
  <headerFooter/>
  <legacyDrawing r:id="rId2"/>
  <tableParts count="22"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  <tablePart r:id="rId14"/>
    <tablePart r:id="rId15"/>
    <tablePart r:id="rId16"/>
    <tablePart r:id="rId17"/>
    <tablePart r:id="rId18"/>
    <tablePart r:id="rId19"/>
    <tablePart r:id="rId20"/>
    <tablePart r:id="rId21"/>
    <tablePart r:id="rId22"/>
    <tablePart r:id="rId23"/>
    <tablePart r:id="rId24"/>
  </tablePar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G148"/>
  <sheetViews>
    <sheetView workbookViewId="0">
      <selection activeCell="A14" sqref="A14:B14"/>
    </sheetView>
  </sheetViews>
  <sheetFormatPr defaultColWidth="9.14285714285714" defaultRowHeight="15" outlineLevelCol="6"/>
  <cols>
    <col min="1" max="1" width="12" customWidth="1"/>
    <col min="2" max="2" width="46.0571428571429" customWidth="1"/>
    <col min="3" max="3" width="24.552380952381" customWidth="1"/>
    <col min="4" max="4" width="41" customWidth="1"/>
    <col min="6" max="6" width="22.8571428571429" customWidth="1"/>
    <col min="7" max="7" width="15.552380952381" customWidth="1"/>
    <col min="9" max="9" width="11.4285714285714"/>
  </cols>
  <sheetData>
    <row r="2" ht="19.5" spans="1:4">
      <c r="A2" s="103" t="s">
        <v>177</v>
      </c>
      <c r="B2" s="103"/>
      <c r="C2" s="103"/>
      <c r="D2" s="103"/>
    </row>
    <row r="3" ht="15.75" spans="1:4">
      <c r="A3" s="104" t="s">
        <v>178</v>
      </c>
      <c r="B3" s="104"/>
      <c r="C3" s="104"/>
      <c r="D3" s="104"/>
    </row>
    <row r="4" spans="1:4">
      <c r="A4" s="105" t="s">
        <v>179</v>
      </c>
      <c r="B4" s="106" t="s">
        <v>180</v>
      </c>
      <c r="C4" s="107"/>
      <c r="D4" s="107"/>
    </row>
    <row r="5" spans="1:4">
      <c r="A5" s="108"/>
      <c r="B5" s="109"/>
      <c r="C5" s="109"/>
      <c r="D5" s="109"/>
    </row>
    <row r="6" ht="15.75" spans="1:4">
      <c r="A6" s="110" t="s">
        <v>181</v>
      </c>
      <c r="B6" s="110"/>
      <c r="C6" s="110"/>
      <c r="D6" s="110"/>
    </row>
    <row r="7" ht="15.75" spans="1:4">
      <c r="A7" s="111" t="s">
        <v>42</v>
      </c>
      <c r="B7" s="112" t="s">
        <v>182</v>
      </c>
      <c r="C7" s="113" t="s">
        <v>183</v>
      </c>
      <c r="D7" s="113"/>
    </row>
    <row r="8" spans="1:4">
      <c r="A8" s="114" t="s">
        <v>45</v>
      </c>
      <c r="B8" s="115" t="s">
        <v>184</v>
      </c>
      <c r="C8" s="116" t="s">
        <v>185</v>
      </c>
      <c r="D8" s="116"/>
    </row>
    <row r="9" spans="1:4">
      <c r="A9" s="117" t="s">
        <v>48</v>
      </c>
      <c r="B9" s="118" t="s">
        <v>186</v>
      </c>
      <c r="C9" s="116" t="s">
        <v>187</v>
      </c>
      <c r="D9" s="116"/>
    </row>
    <row r="10" spans="1:4">
      <c r="A10" s="114" t="s">
        <v>53</v>
      </c>
      <c r="B10" s="115" t="s">
        <v>188</v>
      </c>
      <c r="C10" s="116" t="s">
        <v>189</v>
      </c>
      <c r="D10" s="116"/>
    </row>
    <row r="11" ht="15.75" spans="1:4">
      <c r="A11" s="119" t="s">
        <v>190</v>
      </c>
      <c r="B11" s="119"/>
      <c r="C11" s="119"/>
      <c r="D11" s="119"/>
    </row>
    <row r="12" ht="16.5" spans="1:4">
      <c r="A12" s="120" t="s">
        <v>191</v>
      </c>
      <c r="B12" s="120"/>
      <c r="C12" s="119" t="s">
        <v>192</v>
      </c>
      <c r="D12" s="121" t="s">
        <v>193</v>
      </c>
    </row>
    <row r="13" spans="1:4">
      <c r="A13" s="122" t="s">
        <v>194</v>
      </c>
      <c r="B13" s="122"/>
      <c r="C13" s="116" t="s">
        <v>195</v>
      </c>
      <c r="D13" s="123">
        <f>RESUMO!D3</f>
        <v>5</v>
      </c>
    </row>
    <row r="14" spans="1:4">
      <c r="A14" s="124"/>
      <c r="B14" s="124"/>
      <c r="C14" s="116"/>
      <c r="D14" s="125"/>
    </row>
    <row r="15" ht="15.75" spans="1:7">
      <c r="A15" s="119" t="s">
        <v>14</v>
      </c>
      <c r="B15" s="119"/>
      <c r="C15" s="119"/>
      <c r="D15" s="119"/>
      <c r="F15" s="126"/>
      <c r="G15" s="126"/>
    </row>
    <row r="16" ht="15.75" spans="1:4">
      <c r="A16" s="128" t="s">
        <v>16</v>
      </c>
      <c r="B16" t="s">
        <v>17</v>
      </c>
      <c r="C16" s="128" t="s">
        <v>18</v>
      </c>
      <c r="D16" s="128" t="s">
        <v>19</v>
      </c>
    </row>
    <row r="17" spans="1:4">
      <c r="A17" s="128">
        <v>1</v>
      </c>
      <c r="B17" t="s">
        <v>20</v>
      </c>
      <c r="C17" s="129" t="s">
        <v>102</v>
      </c>
      <c r="D17" s="129" t="str">
        <f>A13</f>
        <v>Recepcionista Secretário(a)</v>
      </c>
    </row>
    <row r="18" spans="1:4">
      <c r="A18" s="128">
        <v>2</v>
      </c>
      <c r="B18" t="s">
        <v>23</v>
      </c>
      <c r="C18" s="129" t="s">
        <v>196</v>
      </c>
      <c r="D18" s="129" t="s">
        <v>197</v>
      </c>
    </row>
    <row r="19" spans="1:4">
      <c r="A19" s="128">
        <v>3</v>
      </c>
      <c r="B19" t="s">
        <v>26</v>
      </c>
      <c r="C19" s="129" t="str">
        <f>C9</f>
        <v>CCT PB000517/2021</v>
      </c>
      <c r="D19" s="130">
        <v>1263.25</v>
      </c>
    </row>
    <row r="20" spans="1:4">
      <c r="A20" s="128">
        <v>4</v>
      </c>
      <c r="B20" t="s">
        <v>29</v>
      </c>
      <c r="C20" s="129" t="str">
        <f>C9</f>
        <v>CCT PB000517/2021</v>
      </c>
      <c r="D20" s="131" t="s">
        <v>198</v>
      </c>
    </row>
    <row r="21" spans="1:4">
      <c r="A21" s="128">
        <v>5</v>
      </c>
      <c r="B21" t="s">
        <v>33</v>
      </c>
      <c r="C21" s="129" t="str">
        <f>C9</f>
        <v>CCT PB000517/2021</v>
      </c>
      <c r="D21" s="132" t="s">
        <v>199</v>
      </c>
    </row>
    <row r="22" spans="6:7">
      <c r="F22" s="126"/>
      <c r="G22" s="126"/>
    </row>
    <row r="23" spans="1:4">
      <c r="A23" s="110" t="s">
        <v>36</v>
      </c>
      <c r="B23" s="110"/>
      <c r="C23" s="110"/>
      <c r="D23" s="110"/>
    </row>
    <row r="24" spans="1:7">
      <c r="A24" s="128" t="s">
        <v>39</v>
      </c>
      <c r="B24" s="133" t="s">
        <v>40</v>
      </c>
      <c r="C24" s="128" t="s">
        <v>18</v>
      </c>
      <c r="D24" s="128" t="s">
        <v>19</v>
      </c>
      <c r="G24" s="179"/>
    </row>
    <row r="25" spans="1:7">
      <c r="A25" s="128" t="s">
        <v>42</v>
      </c>
      <c r="B25" t="s">
        <v>43</v>
      </c>
      <c r="C25" s="131" t="s">
        <v>200</v>
      </c>
      <c r="D25" s="130">
        <f>D19</f>
        <v>1263.25</v>
      </c>
      <c r="G25" s="179"/>
    </row>
    <row r="26" spans="1:7">
      <c r="A26" s="128" t="s">
        <v>45</v>
      </c>
      <c r="B26" t="s">
        <v>46</v>
      </c>
      <c r="C26" s="131"/>
      <c r="D26" s="130">
        <v>0</v>
      </c>
      <c r="G26" s="179"/>
    </row>
    <row r="27" spans="1:4">
      <c r="A27" s="128" t="s">
        <v>48</v>
      </c>
      <c r="B27" t="s">
        <v>49</v>
      </c>
      <c r="C27" s="131"/>
      <c r="D27" s="130">
        <v>0</v>
      </c>
    </row>
    <row r="28" spans="1:4">
      <c r="A28" s="128" t="s">
        <v>50</v>
      </c>
      <c r="B28" t="s">
        <v>51</v>
      </c>
      <c r="C28" s="131"/>
      <c r="D28" s="130">
        <v>0</v>
      </c>
    </row>
    <row r="29" spans="1:4">
      <c r="A29" s="128" t="s">
        <v>53</v>
      </c>
      <c r="B29" t="s">
        <v>54</v>
      </c>
      <c r="C29" s="131"/>
      <c r="D29" s="130">
        <v>0</v>
      </c>
    </row>
    <row r="30" spans="1:4">
      <c r="A30" s="128" t="s">
        <v>55</v>
      </c>
      <c r="B30" t="s">
        <v>56</v>
      </c>
      <c r="C30" s="131"/>
      <c r="D30" s="130">
        <v>0</v>
      </c>
    </row>
    <row r="31" spans="1:7">
      <c r="A31" s="128" t="s">
        <v>58</v>
      </c>
      <c r="C31" s="128"/>
      <c r="D31" s="135">
        <f>TRUNC((SUM(D25:D30)),2)</f>
        <v>1263.25</v>
      </c>
      <c r="F31" s="126"/>
      <c r="G31" s="126"/>
    </row>
    <row r="33" spans="1:7">
      <c r="A33" s="136" t="s">
        <v>61</v>
      </c>
      <c r="B33" s="136"/>
      <c r="C33" s="136"/>
      <c r="D33" s="136"/>
      <c r="G33" s="179"/>
    </row>
    <row r="35" spans="1:4">
      <c r="A35" s="126" t="s">
        <v>63</v>
      </c>
      <c r="B35" s="126"/>
      <c r="C35" s="126"/>
      <c r="D35" s="126"/>
    </row>
    <row r="36" spans="1:4">
      <c r="A36" s="128" t="s">
        <v>65</v>
      </c>
      <c r="B36" s="133" t="s">
        <v>66</v>
      </c>
      <c r="C36" s="128" t="s">
        <v>38</v>
      </c>
      <c r="D36" s="128" t="s">
        <v>19</v>
      </c>
    </row>
    <row r="37" spans="1:7">
      <c r="A37" s="128" t="s">
        <v>42</v>
      </c>
      <c r="B37" t="s">
        <v>67</v>
      </c>
      <c r="C37" s="137">
        <f>(1/12)</f>
        <v>0.0833333333333333</v>
      </c>
      <c r="D37" s="135">
        <f>TRUNC($D$31*C37,2)</f>
        <v>105.27</v>
      </c>
      <c r="F37" s="138"/>
      <c r="G37" s="138"/>
    </row>
    <row r="38" spans="1:7">
      <c r="A38" s="128" t="s">
        <v>45</v>
      </c>
      <c r="B38" t="s">
        <v>68</v>
      </c>
      <c r="C38" s="137">
        <f>(((1+1/3)/12))</f>
        <v>0.111111111111111</v>
      </c>
      <c r="D38" s="135">
        <f>TRUNC($D$31*C38,2)</f>
        <v>140.36</v>
      </c>
      <c r="F38" s="138"/>
      <c r="G38" s="138"/>
    </row>
    <row r="39" spans="1:7">
      <c r="A39" s="128" t="s">
        <v>58</v>
      </c>
      <c r="D39" s="135">
        <f>TRUNC((SUM(D37:D38)),2)</f>
        <v>245.63</v>
      </c>
      <c r="F39" s="138"/>
      <c r="G39" s="138"/>
    </row>
    <row r="40" ht="15.75" spans="4:7">
      <c r="D40" s="135"/>
      <c r="F40" s="138"/>
      <c r="G40" s="138"/>
    </row>
    <row r="41" ht="16.5" spans="1:7">
      <c r="A41" s="139" t="s">
        <v>201</v>
      </c>
      <c r="B41" s="139"/>
      <c r="C41" s="140" t="s">
        <v>202</v>
      </c>
      <c r="D41" s="141">
        <f>D31</f>
        <v>1263.25</v>
      </c>
      <c r="F41" s="138"/>
      <c r="G41" s="138"/>
    </row>
    <row r="42" ht="16.5" spans="1:7">
      <c r="A42" s="139"/>
      <c r="B42" s="139"/>
      <c r="C42" s="142" t="s">
        <v>203</v>
      </c>
      <c r="D42" s="141">
        <f>D39</f>
        <v>245.63</v>
      </c>
      <c r="F42" s="138"/>
      <c r="G42" s="138"/>
    </row>
    <row r="43" ht="16.5" spans="1:7">
      <c r="A43" s="139"/>
      <c r="B43" s="139"/>
      <c r="C43" s="140" t="s">
        <v>204</v>
      </c>
      <c r="D43" s="143">
        <f>TRUNC((SUM(D41:D42)),2)</f>
        <v>1508.88</v>
      </c>
      <c r="F43" s="138"/>
      <c r="G43" s="138"/>
    </row>
    <row r="44" ht="15.75" spans="1:7">
      <c r="A44" s="128"/>
      <c r="C44" s="144"/>
      <c r="D44" s="135"/>
      <c r="F44" s="138"/>
      <c r="G44" s="138"/>
    </row>
    <row r="45" spans="1:4">
      <c r="A45" s="126" t="s">
        <v>77</v>
      </c>
      <c r="B45" s="126"/>
      <c r="C45" s="126"/>
      <c r="D45" s="126"/>
    </row>
    <row r="46" spans="1:4">
      <c r="A46" s="128" t="s">
        <v>78</v>
      </c>
      <c r="B46" s="133" t="s">
        <v>79</v>
      </c>
      <c r="C46" s="128" t="s">
        <v>38</v>
      </c>
      <c r="D46" s="128" t="s">
        <v>80</v>
      </c>
    </row>
    <row r="47" spans="1:4">
      <c r="A47" s="128" t="s">
        <v>42</v>
      </c>
      <c r="B47" t="s">
        <v>81</v>
      </c>
      <c r="C47" s="137">
        <v>0.2</v>
      </c>
      <c r="D47" s="135">
        <f t="shared" ref="D47:D54" si="0">TRUNC(($D$43*C47),2)</f>
        <v>301.77</v>
      </c>
    </row>
    <row r="48" spans="1:4">
      <c r="A48" s="128" t="s">
        <v>45</v>
      </c>
      <c r="B48" t="s">
        <v>82</v>
      </c>
      <c r="C48" s="137">
        <v>0.025</v>
      </c>
      <c r="D48" s="135">
        <f t="shared" si="0"/>
        <v>37.72</v>
      </c>
    </row>
    <row r="49" spans="1:4">
      <c r="A49" s="128" t="s">
        <v>48</v>
      </c>
      <c r="B49" t="s">
        <v>205</v>
      </c>
      <c r="C49" s="145">
        <v>0.06</v>
      </c>
      <c r="D49" s="130">
        <f t="shared" si="0"/>
        <v>90.53</v>
      </c>
    </row>
    <row r="50" spans="1:4">
      <c r="A50" s="128" t="s">
        <v>50</v>
      </c>
      <c r="B50" t="s">
        <v>84</v>
      </c>
      <c r="C50" s="137">
        <v>0.015</v>
      </c>
      <c r="D50" s="135">
        <f t="shared" si="0"/>
        <v>22.63</v>
      </c>
    </row>
    <row r="51" spans="1:4">
      <c r="A51" s="128" t="s">
        <v>53</v>
      </c>
      <c r="B51" t="s">
        <v>85</v>
      </c>
      <c r="C51" s="137">
        <v>0.01</v>
      </c>
      <c r="D51" s="135">
        <f t="shared" si="0"/>
        <v>15.08</v>
      </c>
    </row>
    <row r="52" spans="1:4">
      <c r="A52" s="128" t="s">
        <v>55</v>
      </c>
      <c r="B52" t="s">
        <v>86</v>
      </c>
      <c r="C52" s="137">
        <v>0.006</v>
      </c>
      <c r="D52" s="135">
        <f t="shared" si="0"/>
        <v>9.05</v>
      </c>
    </row>
    <row r="53" spans="1:4">
      <c r="A53" s="128" t="s">
        <v>87</v>
      </c>
      <c r="B53" t="s">
        <v>88</v>
      </c>
      <c r="C53" s="137">
        <v>0.002</v>
      </c>
      <c r="D53" s="135">
        <f t="shared" si="0"/>
        <v>3.01</v>
      </c>
    </row>
    <row r="54" spans="1:4">
      <c r="A54" s="128" t="s">
        <v>89</v>
      </c>
      <c r="B54" t="s">
        <v>90</v>
      </c>
      <c r="C54" s="137">
        <v>0.08</v>
      </c>
      <c r="D54" s="135">
        <f t="shared" si="0"/>
        <v>120.71</v>
      </c>
    </row>
    <row r="55" spans="1:4">
      <c r="A55" s="128" t="s">
        <v>58</v>
      </c>
      <c r="C55" s="144">
        <f>SUM(C47:C54)</f>
        <v>0.398</v>
      </c>
      <c r="D55" s="135">
        <f>TRUNC(SUM(D47:D54),2)</f>
        <v>600.5</v>
      </c>
    </row>
    <row r="56" spans="1:4">
      <c r="A56" s="128"/>
      <c r="C56" s="144"/>
      <c r="D56" s="135"/>
    </row>
    <row r="57" spans="1:4">
      <c r="A57" s="126" t="s">
        <v>95</v>
      </c>
      <c r="B57" s="126"/>
      <c r="C57" s="126"/>
      <c r="D57" s="126"/>
    </row>
    <row r="58" spans="1:4">
      <c r="A58" s="128" t="s">
        <v>96</v>
      </c>
      <c r="B58" s="133" t="s">
        <v>97</v>
      </c>
      <c r="C58" s="128" t="s">
        <v>18</v>
      </c>
      <c r="D58" s="128" t="s">
        <v>19</v>
      </c>
    </row>
    <row r="59" spans="1:4">
      <c r="A59" s="128" t="s">
        <v>42</v>
      </c>
      <c r="B59" t="s">
        <v>98</v>
      </c>
      <c r="C59" s="129"/>
      <c r="D59" s="146">
        <v>0</v>
      </c>
    </row>
    <row r="60" spans="1:4">
      <c r="A60" s="128" t="s">
        <v>45</v>
      </c>
      <c r="B60" t="s">
        <v>99</v>
      </c>
      <c r="C60" s="129" t="str">
        <f>C9</f>
        <v>CCT PB000517/2021</v>
      </c>
      <c r="D60" s="130">
        <f>TRUNC((((460))-(((460))*0.2)),2)</f>
        <v>368</v>
      </c>
    </row>
    <row r="61" spans="1:4">
      <c r="A61" s="128" t="s">
        <v>48</v>
      </c>
      <c r="B61" t="s">
        <v>100</v>
      </c>
      <c r="C61" s="129"/>
      <c r="D61" s="130">
        <v>0</v>
      </c>
    </row>
    <row r="62" spans="1:6">
      <c r="A62" s="147" t="s">
        <v>50</v>
      </c>
      <c r="B62" s="148" t="s">
        <v>206</v>
      </c>
      <c r="C62" s="149"/>
      <c r="D62" s="149">
        <v>0</v>
      </c>
      <c r="F62" s="148"/>
    </row>
    <row r="63" spans="1:4">
      <c r="A63" s="147" t="s">
        <v>53</v>
      </c>
      <c r="B63" s="133" t="s">
        <v>207</v>
      </c>
      <c r="C63" s="129" t="s">
        <v>187</v>
      </c>
      <c r="D63" s="130">
        <v>20</v>
      </c>
    </row>
    <row r="64" spans="1:4">
      <c r="A64" s="147" t="s">
        <v>55</v>
      </c>
      <c r="B64" s="150" t="s">
        <v>208</v>
      </c>
      <c r="C64" s="129" t="s">
        <v>187</v>
      </c>
      <c r="D64" s="130">
        <v>5</v>
      </c>
    </row>
    <row r="65" spans="1:4">
      <c r="A65" s="147" t="s">
        <v>87</v>
      </c>
      <c r="B65" s="150" t="s">
        <v>209</v>
      </c>
      <c r="C65" s="149" t="s">
        <v>187</v>
      </c>
      <c r="D65" s="130">
        <v>40</v>
      </c>
    </row>
    <row r="66" spans="1:4">
      <c r="A66" s="128" t="s">
        <v>58</v>
      </c>
      <c r="D66" s="135">
        <f>TRUNC((SUM(D59:D65)),2)</f>
        <v>433</v>
      </c>
    </row>
    <row r="67" spans="1:4">
      <c r="A67" s="128"/>
      <c r="D67" s="135"/>
    </row>
    <row r="68" spans="1:4">
      <c r="A68" s="126" t="s">
        <v>105</v>
      </c>
      <c r="B68" s="126"/>
      <c r="C68" s="126"/>
      <c r="D68" s="126"/>
    </row>
    <row r="69" spans="1:4">
      <c r="A69" s="128" t="s">
        <v>106</v>
      </c>
      <c r="B69" s="133" t="s">
        <v>107</v>
      </c>
      <c r="C69" s="128" t="s">
        <v>18</v>
      </c>
      <c r="D69" s="128" t="s">
        <v>19</v>
      </c>
    </row>
    <row r="70" spans="1:4">
      <c r="A70" s="128" t="s">
        <v>65</v>
      </c>
      <c r="B70" t="s">
        <v>66</v>
      </c>
      <c r="C70" s="128"/>
      <c r="D70" s="135">
        <f>D39</f>
        <v>245.63</v>
      </c>
    </row>
    <row r="71" spans="1:4">
      <c r="A71" s="128" t="s">
        <v>78</v>
      </c>
      <c r="B71" t="s">
        <v>79</v>
      </c>
      <c r="C71" s="128"/>
      <c r="D71" s="135">
        <f>D55</f>
        <v>600.5</v>
      </c>
    </row>
    <row r="72" spans="1:4">
      <c r="A72" s="128" t="s">
        <v>96</v>
      </c>
      <c r="B72" t="s">
        <v>97</v>
      </c>
      <c r="C72" s="128"/>
      <c r="D72" s="135">
        <f>D66</f>
        <v>433</v>
      </c>
    </row>
    <row r="73" spans="1:4">
      <c r="A73" s="128" t="s">
        <v>58</v>
      </c>
      <c r="C73" s="128"/>
      <c r="D73" s="135">
        <f>TRUNC((SUM(D70:D72)),2)</f>
        <v>1279.13</v>
      </c>
    </row>
    <row r="75" spans="1:4">
      <c r="A75" s="110" t="s">
        <v>108</v>
      </c>
      <c r="B75" s="110"/>
      <c r="C75" s="110"/>
      <c r="D75" s="110"/>
    </row>
    <row r="76" spans="1:4">
      <c r="A76" s="128" t="s">
        <v>109</v>
      </c>
      <c r="B76" s="133" t="s">
        <v>110</v>
      </c>
      <c r="C76" s="128" t="s">
        <v>38</v>
      </c>
      <c r="D76" s="128" t="s">
        <v>19</v>
      </c>
    </row>
    <row r="77" spans="1:4">
      <c r="A77" s="128" t="s">
        <v>42</v>
      </c>
      <c r="B77" t="s">
        <v>111</v>
      </c>
      <c r="C77" s="145">
        <f>((1/12)*2%)</f>
        <v>0.00166666666666667</v>
      </c>
      <c r="D77" s="130">
        <f>TRUNC(($D$31*C77),2)</f>
        <v>2.1</v>
      </c>
    </row>
    <row r="78" spans="1:4">
      <c r="A78" s="128" t="s">
        <v>45</v>
      </c>
      <c r="B78" t="s">
        <v>112</v>
      </c>
      <c r="C78" s="151">
        <v>0.08</v>
      </c>
      <c r="D78" s="135">
        <f>TRUNC(($D$77*C78),2)</f>
        <v>0.16</v>
      </c>
    </row>
    <row r="79" ht="30" spans="1:4">
      <c r="A79" s="128" t="s">
        <v>48</v>
      </c>
      <c r="B79" s="152" t="s">
        <v>113</v>
      </c>
      <c r="C79" s="153">
        <f>(0.08*0.4*0.02)</f>
        <v>0.00064</v>
      </c>
      <c r="D79" s="149">
        <f>TRUNC(($D$31*C79),2)</f>
        <v>0.8</v>
      </c>
    </row>
    <row r="80" spans="1:4">
      <c r="A80" s="128" t="s">
        <v>50</v>
      </c>
      <c r="B80" t="s">
        <v>114</v>
      </c>
      <c r="C80" s="154">
        <f>(((7/30)/12)*0.98)</f>
        <v>0.0190555555555556</v>
      </c>
      <c r="D80" s="155">
        <f>TRUNC(($D$31*C80),2)</f>
        <v>24.07</v>
      </c>
    </row>
    <row r="81" ht="30" spans="1:4">
      <c r="A81" s="128" t="s">
        <v>53</v>
      </c>
      <c r="B81" s="152" t="s">
        <v>210</v>
      </c>
      <c r="C81" s="153">
        <f>C55</f>
        <v>0.398</v>
      </c>
      <c r="D81" s="149">
        <f>TRUNC(($D$80*C81),2)</f>
        <v>9.57</v>
      </c>
    </row>
    <row r="82" ht="30" spans="1:4">
      <c r="A82" s="128" t="s">
        <v>55</v>
      </c>
      <c r="B82" s="152" t="s">
        <v>115</v>
      </c>
      <c r="C82" s="154">
        <f>(0.08*0.4*0.98)</f>
        <v>0.03136</v>
      </c>
      <c r="D82" s="192">
        <f>TRUNC(($D$31*C82),2)</f>
        <v>39.61</v>
      </c>
    </row>
    <row r="83" spans="1:4">
      <c r="A83" s="128" t="s">
        <v>58</v>
      </c>
      <c r="C83" s="151">
        <f>SUM(C77:C82)</f>
        <v>0.530722222222222</v>
      </c>
      <c r="D83" s="135">
        <f>TRUNC((SUM(D77:D82)),2)</f>
        <v>76.31</v>
      </c>
    </row>
    <row r="84" ht="15.75" spans="1:4">
      <c r="A84" s="128"/>
      <c r="D84" s="135"/>
    </row>
    <row r="85" ht="16.5" spans="1:4">
      <c r="A85" s="139" t="s">
        <v>211</v>
      </c>
      <c r="B85" s="139"/>
      <c r="C85" s="140" t="s">
        <v>202</v>
      </c>
      <c r="D85" s="141">
        <f>D31</f>
        <v>1263.25</v>
      </c>
    </row>
    <row r="86" ht="16.5" spans="1:4">
      <c r="A86" s="139"/>
      <c r="B86" s="139"/>
      <c r="C86" s="142" t="s">
        <v>212</v>
      </c>
      <c r="D86" s="141">
        <f>D73</f>
        <v>1279.13</v>
      </c>
    </row>
    <row r="87" ht="16.5" spans="1:4">
      <c r="A87" s="139"/>
      <c r="B87" s="139"/>
      <c r="C87" s="140" t="s">
        <v>213</v>
      </c>
      <c r="D87" s="141">
        <f>D83</f>
        <v>76.31</v>
      </c>
    </row>
    <row r="88" ht="16.5" spans="1:4">
      <c r="A88" s="139"/>
      <c r="B88" s="139"/>
      <c r="C88" s="142" t="s">
        <v>204</v>
      </c>
      <c r="D88" s="143">
        <f>TRUNC((SUM(D85:D87)),2)</f>
        <v>2618.69</v>
      </c>
    </row>
    <row r="89" ht="15.75" spans="1:4">
      <c r="A89" s="128"/>
      <c r="D89" s="135"/>
    </row>
    <row r="90" spans="1:4">
      <c r="A90" s="156" t="s">
        <v>127</v>
      </c>
      <c r="B90" s="156"/>
      <c r="C90" s="156"/>
      <c r="D90" s="156"/>
    </row>
    <row r="91" spans="1:4">
      <c r="A91" s="126" t="s">
        <v>128</v>
      </c>
      <c r="B91" s="126"/>
      <c r="C91" s="126"/>
      <c r="D91" s="126"/>
    </row>
    <row r="92" spans="1:4">
      <c r="A92" s="128" t="s">
        <v>129</v>
      </c>
      <c r="B92" s="133" t="s">
        <v>130</v>
      </c>
      <c r="C92" s="128" t="s">
        <v>38</v>
      </c>
      <c r="D92" s="128" t="s">
        <v>19</v>
      </c>
    </row>
    <row r="93" spans="1:4">
      <c r="A93" s="128" t="s">
        <v>42</v>
      </c>
      <c r="B93" t="s">
        <v>214</v>
      </c>
      <c r="C93" s="151">
        <f>(((1+1/3)/12)/12)+((1/12)/12)</f>
        <v>0.0162037037037037</v>
      </c>
      <c r="D93" s="135">
        <f>TRUNC(($D$88*C93),2)</f>
        <v>42.43</v>
      </c>
    </row>
    <row r="94" spans="1:4">
      <c r="A94" s="128" t="s">
        <v>45</v>
      </c>
      <c r="B94" t="s">
        <v>133</v>
      </c>
      <c r="C94" s="145">
        <f>((5/30)/12)</f>
        <v>0.0138888888888889</v>
      </c>
      <c r="D94" s="149">
        <f t="shared" ref="D93:D97" si="1">TRUNC(($D$88*C94),2)</f>
        <v>36.37</v>
      </c>
    </row>
    <row r="95" spans="1:4">
      <c r="A95" s="128" t="s">
        <v>48</v>
      </c>
      <c r="B95" t="s">
        <v>134</v>
      </c>
      <c r="C95" s="145">
        <f>((5/30)/12)*0.02</f>
        <v>0.000277777777777778</v>
      </c>
      <c r="D95" s="149">
        <f t="shared" si="1"/>
        <v>0.72</v>
      </c>
    </row>
    <row r="96" ht="30" spans="1:4">
      <c r="A96" s="147" t="s">
        <v>50</v>
      </c>
      <c r="B96" s="152" t="s">
        <v>135</v>
      </c>
      <c r="C96" s="153">
        <f>((15/30)/12)*0.08</f>
        <v>0.00333333333333333</v>
      </c>
      <c r="D96" s="149">
        <f t="shared" si="1"/>
        <v>8.72</v>
      </c>
    </row>
    <row r="97" spans="1:4">
      <c r="A97" s="128" t="s">
        <v>53</v>
      </c>
      <c r="B97" t="s">
        <v>136</v>
      </c>
      <c r="C97" s="145">
        <f>((1+1/3)/12)*0.03*((4/12))</f>
        <v>0.00111111111111111</v>
      </c>
      <c r="D97" s="149">
        <f t="shared" si="1"/>
        <v>2.9</v>
      </c>
    </row>
    <row r="98" ht="30" spans="1:4">
      <c r="A98" s="128" t="s">
        <v>55</v>
      </c>
      <c r="B98" s="152" t="s">
        <v>215</v>
      </c>
      <c r="C98" s="157">
        <v>0</v>
      </c>
      <c r="D98" s="149">
        <f>TRUNC($D$88*C98)</f>
        <v>0</v>
      </c>
    </row>
    <row r="99" spans="1:4">
      <c r="A99" s="128" t="s">
        <v>58</v>
      </c>
      <c r="C99" s="151">
        <f>SUM(C93:C98)</f>
        <v>0.0348148148148148</v>
      </c>
      <c r="D99" s="135">
        <f>TRUNC((SUM(D93:D98)),2)</f>
        <v>91.14</v>
      </c>
    </row>
    <row r="100" spans="1:4">
      <c r="A100" s="128"/>
      <c r="C100" s="128"/>
      <c r="D100" s="135"/>
    </row>
    <row r="101" spans="1:4">
      <c r="A101" s="126" t="s">
        <v>144</v>
      </c>
      <c r="B101" s="126"/>
      <c r="C101" s="126"/>
      <c r="D101" s="126"/>
    </row>
    <row r="102" spans="1:4">
      <c r="A102" s="128" t="s">
        <v>145</v>
      </c>
      <c r="B102" s="133" t="s">
        <v>146</v>
      </c>
      <c r="C102" s="128" t="s">
        <v>18</v>
      </c>
      <c r="D102" s="128" t="s">
        <v>19</v>
      </c>
    </row>
    <row r="103" ht="105" spans="1:4">
      <c r="A103" s="147" t="s">
        <v>42</v>
      </c>
      <c r="B103" s="158" t="s">
        <v>147</v>
      </c>
      <c r="C103" s="159" t="s">
        <v>216</v>
      </c>
      <c r="D103" s="160" t="s">
        <v>217</v>
      </c>
    </row>
    <row r="104" spans="1:4">
      <c r="A104" s="128" t="s">
        <v>58</v>
      </c>
      <c r="C104" s="161"/>
      <c r="D104" s="162" t="str">
        <f>D103</f>
        <v>*=TRUNCAR(($D$86/220)*(1*(365/12))/2)</v>
      </c>
    </row>
    <row r="106" spans="1:4">
      <c r="A106" s="126" t="s">
        <v>148</v>
      </c>
      <c r="B106" s="126"/>
      <c r="C106" s="126"/>
      <c r="D106" s="126"/>
    </row>
    <row r="107" spans="1:4">
      <c r="A107" s="128" t="s">
        <v>149</v>
      </c>
      <c r="B107" s="133" t="s">
        <v>150</v>
      </c>
      <c r="C107" s="128" t="s">
        <v>18</v>
      </c>
      <c r="D107" s="128" t="s">
        <v>19</v>
      </c>
    </row>
    <row r="108" spans="1:4">
      <c r="A108" s="128" t="s">
        <v>129</v>
      </c>
      <c r="B108" t="s">
        <v>130</v>
      </c>
      <c r="D108" s="130">
        <f>D99</f>
        <v>91.14</v>
      </c>
    </row>
    <row r="109" spans="1:4">
      <c r="A109" s="128" t="s">
        <v>145</v>
      </c>
      <c r="B109" t="s">
        <v>151</v>
      </c>
      <c r="C109" s="133"/>
      <c r="D109" s="163" t="str">
        <f>Submódulo4.260_55107[[#Totals],[Valor]]</f>
        <v>*=TRUNCAR(($D$86/220)*(1*(365/12))/2)</v>
      </c>
    </row>
    <row r="110" ht="75" spans="1:4">
      <c r="A110" s="147" t="s">
        <v>58</v>
      </c>
      <c r="B110" s="148"/>
      <c r="C110" s="159" t="s">
        <v>218</v>
      </c>
      <c r="D110" s="164">
        <f>TRUNC((SUM(D108:D109)),2)</f>
        <v>91.14</v>
      </c>
    </row>
    <row r="112" ht="37" customHeight="1" spans="1:4">
      <c r="A112" s="110" t="s">
        <v>152</v>
      </c>
      <c r="B112" s="110"/>
      <c r="C112" s="110"/>
      <c r="D112" s="110"/>
    </row>
    <row r="113" spans="1:4">
      <c r="A113" s="147" t="s">
        <v>153</v>
      </c>
      <c r="B113" s="148" t="s">
        <v>154</v>
      </c>
      <c r="C113" s="147" t="s">
        <v>18</v>
      </c>
      <c r="D113" s="147" t="s">
        <v>19</v>
      </c>
    </row>
    <row r="114" spans="1:4">
      <c r="A114" s="128" t="s">
        <v>42</v>
      </c>
      <c r="B114" t="s">
        <v>219</v>
      </c>
      <c r="D114" s="165">
        <f>Uniformes!G27</f>
        <v>75.51</v>
      </c>
    </row>
    <row r="115" spans="1:4">
      <c r="A115" s="128" t="s">
        <v>45</v>
      </c>
      <c r="B115" t="s">
        <v>220</v>
      </c>
      <c r="D115" s="165">
        <v>0</v>
      </c>
    </row>
    <row r="116" spans="1:4">
      <c r="A116" s="128" t="s">
        <v>48</v>
      </c>
      <c r="B116" t="s">
        <v>156</v>
      </c>
      <c r="D116" s="165">
        <v>0</v>
      </c>
    </row>
    <row r="117" spans="1:4">
      <c r="A117" s="128" t="s">
        <v>50</v>
      </c>
      <c r="B117" t="s">
        <v>157</v>
      </c>
      <c r="D117" s="165">
        <v>0</v>
      </c>
    </row>
    <row r="118" spans="1:4">
      <c r="A118" s="128" t="s">
        <v>53</v>
      </c>
      <c r="B118" t="s">
        <v>221</v>
      </c>
      <c r="C118" s="128"/>
      <c r="D118" s="165">
        <v>0</v>
      </c>
    </row>
    <row r="119" spans="1:4">
      <c r="A119" s="128" t="s">
        <v>58</v>
      </c>
      <c r="D119" s="166">
        <f>TRUNC(SUM(D114:D118),2)</f>
        <v>75.51</v>
      </c>
    </row>
    <row r="120" ht="15.75"/>
    <row r="121" ht="16.5" spans="1:4">
      <c r="A121" s="139" t="s">
        <v>222</v>
      </c>
      <c r="B121" s="139"/>
      <c r="C121" s="140" t="s">
        <v>202</v>
      </c>
      <c r="D121" s="141">
        <f>D31</f>
        <v>1263.25</v>
      </c>
    </row>
    <row r="122" ht="16.5" spans="1:4">
      <c r="A122" s="139"/>
      <c r="B122" s="139"/>
      <c r="C122" s="142" t="s">
        <v>212</v>
      </c>
      <c r="D122" s="141">
        <f>D73</f>
        <v>1279.13</v>
      </c>
    </row>
    <row r="123" ht="16.5" spans="1:4">
      <c r="A123" s="139"/>
      <c r="B123" s="139"/>
      <c r="C123" s="140" t="s">
        <v>213</v>
      </c>
      <c r="D123" s="141">
        <f>D83</f>
        <v>76.31</v>
      </c>
    </row>
    <row r="124" ht="16.5" spans="1:4">
      <c r="A124" s="139"/>
      <c r="B124" s="139"/>
      <c r="C124" s="142" t="s">
        <v>223</v>
      </c>
      <c r="D124" s="141">
        <f>D110</f>
        <v>91.14</v>
      </c>
    </row>
    <row r="125" ht="16.5" spans="1:4">
      <c r="A125" s="139"/>
      <c r="B125" s="139"/>
      <c r="C125" s="140" t="s">
        <v>224</v>
      </c>
      <c r="D125" s="141">
        <f>D119</f>
        <v>75.51</v>
      </c>
    </row>
    <row r="126" ht="16.5" spans="1:4">
      <c r="A126" s="139"/>
      <c r="B126" s="139"/>
      <c r="C126" s="142" t="s">
        <v>204</v>
      </c>
      <c r="D126" s="143">
        <f>TRUNC((SUM(D121:D125)),2)</f>
        <v>2785.34</v>
      </c>
    </row>
    <row r="127" ht="15.75"/>
    <row r="128" ht="15.75" spans="1:7">
      <c r="A128" s="110" t="s">
        <v>164</v>
      </c>
      <c r="B128" s="110"/>
      <c r="C128" s="110"/>
      <c r="D128" s="110"/>
      <c r="F128" s="167" t="s">
        <v>225</v>
      </c>
      <c r="G128" s="167"/>
    </row>
    <row r="129" ht="15.75" spans="1:7">
      <c r="A129" s="128" t="s">
        <v>165</v>
      </c>
      <c r="B129" t="s">
        <v>166</v>
      </c>
      <c r="C129" s="128" t="s">
        <v>38</v>
      </c>
      <c r="D129" s="128" t="s">
        <v>19</v>
      </c>
      <c r="F129" s="169" t="s">
        <v>226</v>
      </c>
      <c r="G129" s="153">
        <f>C132</f>
        <v>0.0865</v>
      </c>
    </row>
    <row r="130" ht="15.75" spans="1:7">
      <c r="A130" s="128" t="s">
        <v>42</v>
      </c>
      <c r="B130" t="s">
        <v>167</v>
      </c>
      <c r="C130" s="168">
        <v>0.04</v>
      </c>
      <c r="D130" s="165">
        <f>TRUNC(($D$126*C130),2)</f>
        <v>111.41</v>
      </c>
      <c r="F130" s="170" t="s">
        <v>227</v>
      </c>
      <c r="G130" s="171">
        <f>TRUNC(SUM(D126,D130,D131),2)</f>
        <v>3041.58</v>
      </c>
    </row>
    <row r="131" ht="15.75" spans="1:7">
      <c r="A131" s="128" t="s">
        <v>45</v>
      </c>
      <c r="B131" t="s">
        <v>59</v>
      </c>
      <c r="C131" s="168">
        <v>0.05</v>
      </c>
      <c r="D131" s="165">
        <f>TRUNC((C131*(D126+D130)),2)</f>
        <v>144.83</v>
      </c>
      <c r="F131" s="169" t="s">
        <v>228</v>
      </c>
      <c r="G131" s="172">
        <f>(100-8.65)/100</f>
        <v>0.9135</v>
      </c>
    </row>
    <row r="132" ht="15.75" spans="1:7">
      <c r="A132" s="128" t="s">
        <v>48</v>
      </c>
      <c r="B132" t="s">
        <v>168</v>
      </c>
      <c r="C132" s="145">
        <f>SUM(C133:C135)</f>
        <v>0.0865</v>
      </c>
      <c r="D132" s="130">
        <f>TRUNC(SUM(D133:D135),2)</f>
        <v>287.99</v>
      </c>
      <c r="F132" s="170" t="s">
        <v>225</v>
      </c>
      <c r="G132" s="171">
        <f>TRUNC((G130/G131),2)</f>
        <v>3329.58</v>
      </c>
    </row>
    <row r="133" ht="15.75" spans="1:4">
      <c r="A133" s="128"/>
      <c r="B133" t="s">
        <v>229</v>
      </c>
      <c r="C133" s="145">
        <v>0.0065</v>
      </c>
      <c r="D133" s="130">
        <f t="shared" ref="D133:D135" si="2">TRUNC(($G$132*C133),2)</f>
        <v>21.64</v>
      </c>
    </row>
    <row r="134" spans="1:4">
      <c r="A134" s="128"/>
      <c r="B134" t="s">
        <v>230</v>
      </c>
      <c r="C134" s="145">
        <v>0.03</v>
      </c>
      <c r="D134" s="130">
        <f t="shared" si="2"/>
        <v>99.88</v>
      </c>
    </row>
    <row r="135" spans="1:4">
      <c r="A135" s="128"/>
      <c r="B135" t="s">
        <v>231</v>
      </c>
      <c r="C135" s="145">
        <v>0.05</v>
      </c>
      <c r="D135" s="130">
        <f t="shared" si="2"/>
        <v>166.47</v>
      </c>
    </row>
    <row r="136" spans="1:4">
      <c r="A136" s="128" t="s">
        <v>58</v>
      </c>
      <c r="B136" s="194"/>
      <c r="C136" s="173"/>
      <c r="D136" s="135">
        <f>TRUNC(SUM(D130:D132),2)</f>
        <v>544.23</v>
      </c>
    </row>
    <row r="137" spans="1:4">
      <c r="A137" s="128"/>
      <c r="C137" s="173"/>
      <c r="D137" s="135"/>
    </row>
    <row r="139" spans="1:4">
      <c r="A139" s="110" t="s">
        <v>172</v>
      </c>
      <c r="B139" s="110"/>
      <c r="C139" s="110"/>
      <c r="D139" s="110"/>
    </row>
    <row r="140" spans="1:4">
      <c r="A140" s="128" t="s">
        <v>16</v>
      </c>
      <c r="B140" s="128" t="s">
        <v>173</v>
      </c>
      <c r="C140" s="128" t="s">
        <v>102</v>
      </c>
      <c r="D140" s="128" t="s">
        <v>19</v>
      </c>
    </row>
    <row r="141" spans="1:4">
      <c r="A141" s="128" t="s">
        <v>42</v>
      </c>
      <c r="B141" t="s">
        <v>36</v>
      </c>
      <c r="D141" s="135">
        <f>D31</f>
        <v>1263.25</v>
      </c>
    </row>
    <row r="142" spans="1:4">
      <c r="A142" s="128" t="s">
        <v>45</v>
      </c>
      <c r="B142" t="s">
        <v>61</v>
      </c>
      <c r="D142" s="135">
        <f>D73</f>
        <v>1279.13</v>
      </c>
    </row>
    <row r="143" spans="1:4">
      <c r="A143" s="128" t="s">
        <v>48</v>
      </c>
      <c r="B143" t="s">
        <v>108</v>
      </c>
      <c r="D143" s="135">
        <f>D83</f>
        <v>76.31</v>
      </c>
    </row>
    <row r="144" spans="1:4">
      <c r="A144" s="128" t="s">
        <v>50</v>
      </c>
      <c r="B144" t="s">
        <v>174</v>
      </c>
      <c r="D144" s="135">
        <f>D110</f>
        <v>91.14</v>
      </c>
    </row>
    <row r="145" spans="1:4">
      <c r="A145" s="128" t="s">
        <v>53</v>
      </c>
      <c r="B145" t="s">
        <v>152</v>
      </c>
      <c r="D145" s="135">
        <f>D119</f>
        <v>75.51</v>
      </c>
    </row>
    <row r="146" spans="2:4">
      <c r="B146" s="174" t="s">
        <v>232</v>
      </c>
      <c r="D146" s="135">
        <f>TRUNC(SUM(D141:D145),2)</f>
        <v>2785.34</v>
      </c>
    </row>
    <row r="147" spans="1:4">
      <c r="A147" s="128" t="s">
        <v>55</v>
      </c>
      <c r="B147" t="s">
        <v>164</v>
      </c>
      <c r="D147" s="135">
        <f>D136</f>
        <v>544.23</v>
      </c>
    </row>
    <row r="148" spans="1:4">
      <c r="A148" s="175"/>
      <c r="B148" s="176" t="s">
        <v>233</v>
      </c>
      <c r="C148" s="175"/>
      <c r="D148" s="177">
        <f>TRUNC((SUM(D141:D145)+D147),2)</f>
        <v>3329.57</v>
      </c>
    </row>
  </sheetData>
  <mergeCells count="33">
    <mergeCell ref="A2:D2"/>
    <mergeCell ref="A3:D3"/>
    <mergeCell ref="A6:D6"/>
    <mergeCell ref="C7:D7"/>
    <mergeCell ref="C8:D8"/>
    <mergeCell ref="C9:D9"/>
    <mergeCell ref="C10:D10"/>
    <mergeCell ref="A11:D11"/>
    <mergeCell ref="A12:B12"/>
    <mergeCell ref="A13:B13"/>
    <mergeCell ref="A14:B14"/>
    <mergeCell ref="A15:D15"/>
    <mergeCell ref="F15:G15"/>
    <mergeCell ref="F22:G22"/>
    <mergeCell ref="A23:D23"/>
    <mergeCell ref="F31:G31"/>
    <mergeCell ref="A33:D33"/>
    <mergeCell ref="A35:D35"/>
    <mergeCell ref="A45:D45"/>
    <mergeCell ref="A57:D57"/>
    <mergeCell ref="A68:D68"/>
    <mergeCell ref="A75:D75"/>
    <mergeCell ref="A90:D90"/>
    <mergeCell ref="A91:D91"/>
    <mergeCell ref="A101:D101"/>
    <mergeCell ref="A106:D106"/>
    <mergeCell ref="A112:D112"/>
    <mergeCell ref="A128:D128"/>
    <mergeCell ref="F128:G128"/>
    <mergeCell ref="A139:D139"/>
    <mergeCell ref="A41:B43"/>
    <mergeCell ref="A85:B88"/>
    <mergeCell ref="A121:B126"/>
  </mergeCells>
  <pageMargins left="0.75" right="0.75" top="1" bottom="1" header="0.5" footer="0.5"/>
  <pageSetup paperSize="9" orientation="landscape"/>
  <headerFooter/>
  <tableParts count="13">
    <tablePart r:id="rId1"/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</tablePart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G148"/>
  <sheetViews>
    <sheetView workbookViewId="0">
      <selection activeCell="G8" sqref="G8"/>
    </sheetView>
  </sheetViews>
  <sheetFormatPr defaultColWidth="9.14285714285714" defaultRowHeight="15" outlineLevelCol="6"/>
  <cols>
    <col min="1" max="1" width="13" customWidth="1"/>
    <col min="2" max="2" width="55.2857142857143" customWidth="1"/>
    <col min="3" max="3" width="34.8571428571429" customWidth="1"/>
    <col min="4" max="4" width="30.8571428571429" customWidth="1"/>
    <col min="6" max="6" width="22.8571428571429" style="1" customWidth="1"/>
    <col min="7" max="7" width="19.5714285714286" style="1" customWidth="1"/>
  </cols>
  <sheetData>
    <row r="2" ht="19.5" spans="1:4">
      <c r="A2" s="103" t="s">
        <v>177</v>
      </c>
      <c r="B2" s="103"/>
      <c r="C2" s="103"/>
      <c r="D2" s="103"/>
    </row>
    <row r="3" ht="15.75" spans="1:4">
      <c r="A3" s="104" t="s">
        <v>178</v>
      </c>
      <c r="B3" s="104"/>
      <c r="C3" s="104"/>
      <c r="D3" s="104"/>
    </row>
    <row r="4" spans="1:4">
      <c r="A4" s="105" t="s">
        <v>179</v>
      </c>
      <c r="B4" s="106" t="s">
        <v>180</v>
      </c>
      <c r="C4" s="107"/>
      <c r="D4" s="107"/>
    </row>
    <row r="5" spans="1:4">
      <c r="A5" s="108"/>
      <c r="B5" s="109"/>
      <c r="C5" s="109"/>
      <c r="D5" s="109"/>
    </row>
    <row r="6" ht="15.75" spans="1:4">
      <c r="A6" s="110" t="s">
        <v>181</v>
      </c>
      <c r="B6" s="110"/>
      <c r="C6" s="110"/>
      <c r="D6" s="110"/>
    </row>
    <row r="7" ht="15.75" spans="1:4">
      <c r="A7" s="111" t="s">
        <v>42</v>
      </c>
      <c r="B7" s="112" t="s">
        <v>182</v>
      </c>
      <c r="C7" s="113" t="s">
        <v>183</v>
      </c>
      <c r="D7" s="113"/>
    </row>
    <row r="8" spans="1:4">
      <c r="A8" s="114" t="s">
        <v>45</v>
      </c>
      <c r="B8" s="115" t="s">
        <v>184</v>
      </c>
      <c r="C8" s="116" t="s">
        <v>185</v>
      </c>
      <c r="D8" s="116"/>
    </row>
    <row r="9" spans="1:4">
      <c r="A9" s="117" t="s">
        <v>48</v>
      </c>
      <c r="B9" s="118" t="s">
        <v>186</v>
      </c>
      <c r="C9" s="116" t="s">
        <v>187</v>
      </c>
      <c r="D9" s="116"/>
    </row>
    <row r="10" spans="1:4">
      <c r="A10" s="114" t="s">
        <v>53</v>
      </c>
      <c r="B10" s="115" t="s">
        <v>188</v>
      </c>
      <c r="C10" s="116" t="s">
        <v>189</v>
      </c>
      <c r="D10" s="116"/>
    </row>
    <row r="11" ht="15.75" spans="1:4">
      <c r="A11" s="119" t="s">
        <v>190</v>
      </c>
      <c r="B11" s="119"/>
      <c r="C11" s="119"/>
      <c r="D11" s="119"/>
    </row>
    <row r="12" ht="16.5" spans="1:4">
      <c r="A12" s="120" t="s">
        <v>191</v>
      </c>
      <c r="B12" s="120"/>
      <c r="C12" s="119" t="s">
        <v>192</v>
      </c>
      <c r="D12" s="121" t="s">
        <v>193</v>
      </c>
    </row>
    <row r="13" ht="15.75" spans="1:4">
      <c r="A13" s="122" t="s">
        <v>234</v>
      </c>
      <c r="B13" s="122"/>
      <c r="C13" s="116" t="s">
        <v>195</v>
      </c>
      <c r="D13" s="123">
        <f>RESUMO!D4</f>
        <v>1</v>
      </c>
    </row>
    <row r="14" spans="1:4">
      <c r="A14" s="124"/>
      <c r="B14" s="124"/>
      <c r="C14" s="116"/>
      <c r="D14" s="125"/>
    </row>
    <row r="15" ht="15.75" spans="1:7">
      <c r="A15" s="119" t="s">
        <v>14</v>
      </c>
      <c r="B15" s="119"/>
      <c r="C15" s="119"/>
      <c r="D15" s="119"/>
      <c r="F15" s="127"/>
      <c r="G15" s="127"/>
    </row>
    <row r="16" ht="15.75" spans="1:4">
      <c r="A16" s="128" t="s">
        <v>16</v>
      </c>
      <c r="B16" t="s">
        <v>17</v>
      </c>
      <c r="C16" s="128" t="s">
        <v>18</v>
      </c>
      <c r="D16" s="128" t="s">
        <v>19</v>
      </c>
    </row>
    <row r="17" spans="1:4">
      <c r="A17" s="128">
        <v>1</v>
      </c>
      <c r="B17" t="s">
        <v>20</v>
      </c>
      <c r="C17" s="129" t="s">
        <v>102</v>
      </c>
      <c r="D17" s="129" t="str">
        <f>A13</f>
        <v>Técnico em Saúde Bucal</v>
      </c>
    </row>
    <row r="18" spans="1:4">
      <c r="A18" s="128">
        <v>2</v>
      </c>
      <c r="B18" t="s">
        <v>23</v>
      </c>
      <c r="C18" s="129" t="s">
        <v>196</v>
      </c>
      <c r="D18" s="190" t="s">
        <v>235</v>
      </c>
    </row>
    <row r="19" spans="1:4">
      <c r="A19" s="128">
        <v>3</v>
      </c>
      <c r="B19" t="s">
        <v>26</v>
      </c>
      <c r="C19" s="129" t="str">
        <f>C9</f>
        <v>CCT PB000517/2021</v>
      </c>
      <c r="D19" s="130">
        <v>1527.06</v>
      </c>
    </row>
    <row r="20" spans="1:4">
      <c r="A20" s="128">
        <v>4</v>
      </c>
      <c r="B20" t="s">
        <v>29</v>
      </c>
      <c r="C20" s="129" t="str">
        <f>C9</f>
        <v>CCT PB000517/2021</v>
      </c>
      <c r="D20" s="131" t="s">
        <v>198</v>
      </c>
    </row>
    <row r="21" spans="1:4">
      <c r="A21" s="128">
        <v>5</v>
      </c>
      <c r="B21" t="s">
        <v>33</v>
      </c>
      <c r="C21" s="129" t="str">
        <f>C9</f>
        <v>CCT PB000517/2021</v>
      </c>
      <c r="D21" s="132" t="s">
        <v>199</v>
      </c>
    </row>
    <row r="22" spans="6:7">
      <c r="F22" s="127"/>
      <c r="G22" s="127"/>
    </row>
    <row r="23" spans="1:4">
      <c r="A23" s="110" t="s">
        <v>36</v>
      </c>
      <c r="B23" s="110"/>
      <c r="C23" s="110"/>
      <c r="D23" s="110"/>
    </row>
    <row r="24" spans="1:7">
      <c r="A24" s="128" t="s">
        <v>39</v>
      </c>
      <c r="B24" s="133" t="s">
        <v>40</v>
      </c>
      <c r="C24" s="128" t="s">
        <v>18</v>
      </c>
      <c r="D24" s="128" t="s">
        <v>19</v>
      </c>
      <c r="G24" s="134"/>
    </row>
    <row r="25" spans="1:7">
      <c r="A25" s="128" t="s">
        <v>42</v>
      </c>
      <c r="B25" t="s">
        <v>43</v>
      </c>
      <c r="C25" s="131" t="s">
        <v>236</v>
      </c>
      <c r="D25" s="130">
        <f>D19</f>
        <v>1527.06</v>
      </c>
      <c r="G25" s="134"/>
    </row>
    <row r="26" spans="1:7">
      <c r="A26" s="128" t="s">
        <v>45</v>
      </c>
      <c r="B26" t="s">
        <v>46</v>
      </c>
      <c r="C26" s="131"/>
      <c r="D26" s="130">
        <v>0</v>
      </c>
      <c r="G26" s="134"/>
    </row>
    <row r="27" spans="1:4">
      <c r="A27" s="128" t="s">
        <v>48</v>
      </c>
      <c r="B27" t="s">
        <v>237</v>
      </c>
      <c r="C27" s="131"/>
      <c r="D27" s="191">
        <v>0</v>
      </c>
    </row>
    <row r="28" spans="1:4">
      <c r="A28" s="128" t="s">
        <v>50</v>
      </c>
      <c r="B28" t="s">
        <v>51</v>
      </c>
      <c r="C28" s="131"/>
      <c r="D28" s="130">
        <v>0</v>
      </c>
    </row>
    <row r="29" spans="1:4">
      <c r="A29" s="128" t="s">
        <v>53</v>
      </c>
      <c r="B29" t="s">
        <v>54</v>
      </c>
      <c r="C29" s="131"/>
      <c r="D29" s="130">
        <v>0</v>
      </c>
    </row>
    <row r="30" spans="1:4">
      <c r="A30" s="128" t="s">
        <v>55</v>
      </c>
      <c r="B30" t="s">
        <v>238</v>
      </c>
      <c r="C30" s="131"/>
      <c r="D30" s="130">
        <v>0</v>
      </c>
    </row>
    <row r="31" spans="1:7">
      <c r="A31" s="128" t="s">
        <v>58</v>
      </c>
      <c r="C31" s="128"/>
      <c r="D31" s="135">
        <f>TRUNC((SUM(D25:D30)),2)</f>
        <v>1527.06</v>
      </c>
      <c r="F31" s="127"/>
      <c r="G31" s="127"/>
    </row>
    <row r="32" spans="2:2">
      <c r="B32" s="41" t="s">
        <v>239</v>
      </c>
    </row>
    <row r="33" spans="1:7">
      <c r="A33" s="136" t="s">
        <v>61</v>
      </c>
      <c r="B33" s="136"/>
      <c r="C33" s="136"/>
      <c r="D33" s="136"/>
      <c r="G33" s="134"/>
    </row>
    <row r="35" spans="1:4">
      <c r="A35" s="126" t="s">
        <v>63</v>
      </c>
      <c r="B35" s="126"/>
      <c r="C35" s="126"/>
      <c r="D35" s="126"/>
    </row>
    <row r="36" spans="1:4">
      <c r="A36" s="128" t="s">
        <v>65</v>
      </c>
      <c r="B36" s="133" t="s">
        <v>66</v>
      </c>
      <c r="C36" s="128" t="s">
        <v>38</v>
      </c>
      <c r="D36" s="128" t="s">
        <v>19</v>
      </c>
    </row>
    <row r="37" spans="1:4">
      <c r="A37" s="128" t="s">
        <v>42</v>
      </c>
      <c r="B37" t="s">
        <v>67</v>
      </c>
      <c r="C37" s="137">
        <f>(1/12)</f>
        <v>0.0833333333333333</v>
      </c>
      <c r="D37" s="135">
        <f>TRUNC($D$31*C37,2)</f>
        <v>127.25</v>
      </c>
    </row>
    <row r="38" spans="1:4">
      <c r="A38" s="128" t="s">
        <v>45</v>
      </c>
      <c r="B38" t="s">
        <v>68</v>
      </c>
      <c r="C38" s="137">
        <f>(((1+1/3)/12))</f>
        <v>0.111111111111111</v>
      </c>
      <c r="D38" s="135">
        <f>TRUNC($D$31*C38,2)</f>
        <v>169.67</v>
      </c>
    </row>
    <row r="39" spans="1:4">
      <c r="A39" s="128" t="s">
        <v>58</v>
      </c>
      <c r="D39" s="135">
        <f>TRUNC((SUM(D37:D38)),2)</f>
        <v>296.92</v>
      </c>
    </row>
    <row r="40" ht="15.75" spans="4:4">
      <c r="D40" s="135"/>
    </row>
    <row r="41" ht="16.5" spans="1:4">
      <c r="A41" s="139" t="s">
        <v>201</v>
      </c>
      <c r="B41" s="139"/>
      <c r="C41" s="140" t="s">
        <v>202</v>
      </c>
      <c r="D41" s="141">
        <f>D31</f>
        <v>1527.06</v>
      </c>
    </row>
    <row r="42" ht="16.5" spans="1:4">
      <c r="A42" s="139"/>
      <c r="B42" s="139"/>
      <c r="C42" s="142" t="s">
        <v>203</v>
      </c>
      <c r="D42" s="141">
        <f>D39</f>
        <v>296.92</v>
      </c>
    </row>
    <row r="43" ht="16.5" spans="1:4">
      <c r="A43" s="139"/>
      <c r="B43" s="139"/>
      <c r="C43" s="140" t="s">
        <v>204</v>
      </c>
      <c r="D43" s="143">
        <f>TRUNC((SUM(D41:D42)),2)</f>
        <v>1823.98</v>
      </c>
    </row>
    <row r="44" ht="15.75" spans="1:4">
      <c r="A44" s="128"/>
      <c r="C44" s="144"/>
      <c r="D44" s="135"/>
    </row>
    <row r="45" spans="1:4">
      <c r="A45" s="126" t="s">
        <v>77</v>
      </c>
      <c r="B45" s="126"/>
      <c r="C45" s="126"/>
      <c r="D45" s="126"/>
    </row>
    <row r="46" spans="1:4">
      <c r="A46" s="128" t="s">
        <v>78</v>
      </c>
      <c r="B46" s="133" t="s">
        <v>79</v>
      </c>
      <c r="C46" s="128" t="s">
        <v>38</v>
      </c>
      <c r="D46" s="128" t="s">
        <v>80</v>
      </c>
    </row>
    <row r="47" spans="1:4">
      <c r="A47" s="128" t="s">
        <v>42</v>
      </c>
      <c r="B47" t="s">
        <v>81</v>
      </c>
      <c r="C47" s="137">
        <v>0.2</v>
      </c>
      <c r="D47" s="135">
        <f t="shared" ref="D47:D54" si="0">TRUNC(($D$43*C47),2)</f>
        <v>364.79</v>
      </c>
    </row>
    <row r="48" spans="1:4">
      <c r="A48" s="128" t="s">
        <v>45</v>
      </c>
      <c r="B48" t="s">
        <v>82</v>
      </c>
      <c r="C48" s="137">
        <v>0.025</v>
      </c>
      <c r="D48" s="135">
        <f t="shared" si="0"/>
        <v>45.59</v>
      </c>
    </row>
    <row r="49" spans="1:4">
      <c r="A49" s="128" t="s">
        <v>48</v>
      </c>
      <c r="B49" t="s">
        <v>205</v>
      </c>
      <c r="C49" s="145">
        <v>0.06</v>
      </c>
      <c r="D49" s="130">
        <f t="shared" si="0"/>
        <v>109.43</v>
      </c>
    </row>
    <row r="50" spans="1:4">
      <c r="A50" s="128" t="s">
        <v>50</v>
      </c>
      <c r="B50" t="s">
        <v>84</v>
      </c>
      <c r="C50" s="137">
        <v>0.015</v>
      </c>
      <c r="D50" s="135">
        <f t="shared" si="0"/>
        <v>27.35</v>
      </c>
    </row>
    <row r="51" spans="1:4">
      <c r="A51" s="128" t="s">
        <v>53</v>
      </c>
      <c r="B51" t="s">
        <v>85</v>
      </c>
      <c r="C51" s="137">
        <v>0.01</v>
      </c>
      <c r="D51" s="135">
        <f t="shared" si="0"/>
        <v>18.23</v>
      </c>
    </row>
    <row r="52" spans="1:4">
      <c r="A52" s="128" t="s">
        <v>55</v>
      </c>
      <c r="B52" t="s">
        <v>86</v>
      </c>
      <c r="C52" s="137">
        <v>0.006</v>
      </c>
      <c r="D52" s="135">
        <f t="shared" si="0"/>
        <v>10.94</v>
      </c>
    </row>
    <row r="53" spans="1:4">
      <c r="A53" s="128" t="s">
        <v>87</v>
      </c>
      <c r="B53" t="s">
        <v>88</v>
      </c>
      <c r="C53" s="137">
        <v>0.002</v>
      </c>
      <c r="D53" s="135">
        <f t="shared" si="0"/>
        <v>3.64</v>
      </c>
    </row>
    <row r="54" spans="1:4">
      <c r="A54" s="128" t="s">
        <v>89</v>
      </c>
      <c r="B54" t="s">
        <v>90</v>
      </c>
      <c r="C54" s="137">
        <v>0.08</v>
      </c>
      <c r="D54" s="135">
        <f t="shared" si="0"/>
        <v>145.91</v>
      </c>
    </row>
    <row r="55" spans="1:4">
      <c r="A55" s="128" t="s">
        <v>58</v>
      </c>
      <c r="C55" s="144">
        <f>SUM(C47:C54)</f>
        <v>0.398</v>
      </c>
      <c r="D55" s="135">
        <f>TRUNC(SUM(D47:D54),2)</f>
        <v>725.88</v>
      </c>
    </row>
    <row r="56" spans="1:4">
      <c r="A56" s="128"/>
      <c r="C56" s="144"/>
      <c r="D56" s="135"/>
    </row>
    <row r="57" spans="1:4">
      <c r="A57" s="126" t="s">
        <v>95</v>
      </c>
      <c r="B57" s="126"/>
      <c r="C57" s="126"/>
      <c r="D57" s="126"/>
    </row>
    <row r="58" spans="1:4">
      <c r="A58" s="128" t="s">
        <v>96</v>
      </c>
      <c r="B58" s="133" t="s">
        <v>97</v>
      </c>
      <c r="C58" s="128" t="s">
        <v>18</v>
      </c>
      <c r="D58" s="128" t="s">
        <v>19</v>
      </c>
    </row>
    <row r="59" spans="1:4">
      <c r="A59" s="128" t="s">
        <v>42</v>
      </c>
      <c r="B59" t="s">
        <v>98</v>
      </c>
      <c r="C59" s="129"/>
      <c r="D59" s="146">
        <v>0</v>
      </c>
    </row>
    <row r="60" spans="1:4">
      <c r="A60" s="128" t="s">
        <v>45</v>
      </c>
      <c r="B60" t="s">
        <v>99</v>
      </c>
      <c r="C60" s="129" t="str">
        <f>C9</f>
        <v>CCT PB000517/2021</v>
      </c>
      <c r="D60" s="130">
        <f>TRUNC((((460))-(((460))*0.2)),2)</f>
        <v>368</v>
      </c>
    </row>
    <row r="61" spans="1:4">
      <c r="A61" s="128" t="s">
        <v>48</v>
      </c>
      <c r="B61" t="s">
        <v>100</v>
      </c>
      <c r="C61" s="129"/>
      <c r="D61" s="130">
        <v>0</v>
      </c>
    </row>
    <row r="62" spans="1:6">
      <c r="A62" s="147" t="s">
        <v>50</v>
      </c>
      <c r="B62" s="148" t="s">
        <v>206</v>
      </c>
      <c r="C62" s="149"/>
      <c r="D62" s="149">
        <v>0</v>
      </c>
      <c r="F62" s="147"/>
    </row>
    <row r="63" spans="1:4">
      <c r="A63" s="147" t="s">
        <v>53</v>
      </c>
      <c r="B63" s="133" t="s">
        <v>207</v>
      </c>
      <c r="C63" s="129" t="s">
        <v>187</v>
      </c>
      <c r="D63" s="130">
        <v>20</v>
      </c>
    </row>
    <row r="64" spans="1:4">
      <c r="A64" s="147" t="s">
        <v>55</v>
      </c>
      <c r="B64" s="150" t="s">
        <v>208</v>
      </c>
      <c r="C64" s="129" t="s">
        <v>187</v>
      </c>
      <c r="D64" s="130">
        <v>5</v>
      </c>
    </row>
    <row r="65" spans="1:4">
      <c r="A65" s="147" t="s">
        <v>87</v>
      </c>
      <c r="B65" s="150" t="s">
        <v>209</v>
      </c>
      <c r="C65" s="149" t="s">
        <v>187</v>
      </c>
      <c r="D65" s="130">
        <v>40</v>
      </c>
    </row>
    <row r="66" spans="1:4">
      <c r="A66" s="128" t="s">
        <v>58</v>
      </c>
      <c r="D66" s="135">
        <f>TRUNC((SUM(D59:D65)),2)</f>
        <v>433</v>
      </c>
    </row>
    <row r="67" spans="1:4">
      <c r="A67" s="128"/>
      <c r="D67" s="135"/>
    </row>
    <row r="68" spans="1:4">
      <c r="A68" s="126" t="s">
        <v>105</v>
      </c>
      <c r="B68" s="126"/>
      <c r="C68" s="126"/>
      <c r="D68" s="126"/>
    </row>
    <row r="69" spans="1:4">
      <c r="A69" s="128" t="s">
        <v>106</v>
      </c>
      <c r="B69" s="133" t="s">
        <v>107</v>
      </c>
      <c r="C69" s="128" t="s">
        <v>18</v>
      </c>
      <c r="D69" s="128" t="s">
        <v>19</v>
      </c>
    </row>
    <row r="70" spans="1:4">
      <c r="A70" s="128" t="s">
        <v>65</v>
      </c>
      <c r="B70" t="s">
        <v>66</v>
      </c>
      <c r="C70" s="128"/>
      <c r="D70" s="135">
        <f>D39</f>
        <v>296.92</v>
      </c>
    </row>
    <row r="71" spans="1:4">
      <c r="A71" s="128" t="s">
        <v>78</v>
      </c>
      <c r="B71" t="s">
        <v>79</v>
      </c>
      <c r="C71" s="128"/>
      <c r="D71" s="135">
        <f>D55</f>
        <v>725.88</v>
      </c>
    </row>
    <row r="72" spans="1:4">
      <c r="A72" s="128" t="s">
        <v>96</v>
      </c>
      <c r="B72" t="s">
        <v>97</v>
      </c>
      <c r="C72" s="128"/>
      <c r="D72" s="135">
        <f>D66</f>
        <v>433</v>
      </c>
    </row>
    <row r="73" spans="1:4">
      <c r="A73" s="128" t="s">
        <v>58</v>
      </c>
      <c r="C73" s="128"/>
      <c r="D73" s="135">
        <f>TRUNC((SUM(D70:D72)),2)</f>
        <v>1455.8</v>
      </c>
    </row>
    <row r="75" spans="1:4">
      <c r="A75" s="110" t="s">
        <v>108</v>
      </c>
      <c r="B75" s="110"/>
      <c r="C75" s="110"/>
      <c r="D75" s="110"/>
    </row>
    <row r="76" spans="1:4">
      <c r="A76" s="128" t="s">
        <v>109</v>
      </c>
      <c r="B76" s="133" t="s">
        <v>110</v>
      </c>
      <c r="C76" s="128" t="s">
        <v>38</v>
      </c>
      <c r="D76" s="128" t="s">
        <v>19</v>
      </c>
    </row>
    <row r="77" spans="1:4">
      <c r="A77" s="128" t="s">
        <v>42</v>
      </c>
      <c r="B77" t="s">
        <v>111</v>
      </c>
      <c r="C77" s="145">
        <f>((1/12)*2%)</f>
        <v>0.00166666666666667</v>
      </c>
      <c r="D77" s="130">
        <f t="shared" ref="D77:D80" si="1">TRUNC(($D$31*C77),2)</f>
        <v>2.54</v>
      </c>
    </row>
    <row r="78" spans="1:4">
      <c r="A78" s="128" t="s">
        <v>45</v>
      </c>
      <c r="B78" t="s">
        <v>112</v>
      </c>
      <c r="C78" s="151">
        <v>0.08</v>
      </c>
      <c r="D78" s="135">
        <f>TRUNC(($D$77*C78),2)</f>
        <v>0.2</v>
      </c>
    </row>
    <row r="79" ht="30" spans="1:4">
      <c r="A79" s="128" t="s">
        <v>48</v>
      </c>
      <c r="B79" s="152" t="s">
        <v>113</v>
      </c>
      <c r="C79" s="153">
        <f>(0.08*0.4*0.02)</f>
        <v>0.00064</v>
      </c>
      <c r="D79" s="149">
        <f t="shared" si="1"/>
        <v>0.97</v>
      </c>
    </row>
    <row r="80" spans="1:4">
      <c r="A80" s="128" t="s">
        <v>50</v>
      </c>
      <c r="B80" t="s">
        <v>114</v>
      </c>
      <c r="C80" s="154">
        <f>(((7/30)/12)*0.98)</f>
        <v>0.0190555555555556</v>
      </c>
      <c r="D80" s="155">
        <f t="shared" si="1"/>
        <v>29.09</v>
      </c>
    </row>
    <row r="81" ht="30" spans="1:4">
      <c r="A81" s="128" t="s">
        <v>53</v>
      </c>
      <c r="B81" s="152" t="s">
        <v>210</v>
      </c>
      <c r="C81" s="153">
        <f>C55</f>
        <v>0.398</v>
      </c>
      <c r="D81" s="149">
        <f>TRUNC(($D$80*C81),2)</f>
        <v>11.57</v>
      </c>
    </row>
    <row r="82" ht="30" spans="1:4">
      <c r="A82" s="128" t="s">
        <v>55</v>
      </c>
      <c r="B82" s="152" t="s">
        <v>115</v>
      </c>
      <c r="C82" s="154">
        <f>(0.08*0.4*0.98)</f>
        <v>0.03136</v>
      </c>
      <c r="D82" s="192">
        <f>TRUNC(($D$31*C82),2)</f>
        <v>47.88</v>
      </c>
    </row>
    <row r="83" spans="1:4">
      <c r="A83" s="128" t="s">
        <v>58</v>
      </c>
      <c r="C83" s="151">
        <f>SUM(C77:C82)</f>
        <v>0.530722222222222</v>
      </c>
      <c r="D83" s="135">
        <f>TRUNC((SUM(D77:D82)),2)</f>
        <v>92.25</v>
      </c>
    </row>
    <row r="84" ht="15.75" spans="1:4">
      <c r="A84" s="128"/>
      <c r="D84" s="135"/>
    </row>
    <row r="85" ht="16.5" spans="1:4">
      <c r="A85" s="139" t="s">
        <v>211</v>
      </c>
      <c r="B85" s="139"/>
      <c r="C85" s="140" t="s">
        <v>202</v>
      </c>
      <c r="D85" s="141">
        <f>D31</f>
        <v>1527.06</v>
      </c>
    </row>
    <row r="86" ht="16.5" spans="1:4">
      <c r="A86" s="139"/>
      <c r="B86" s="139"/>
      <c r="C86" s="142" t="s">
        <v>212</v>
      </c>
      <c r="D86" s="141">
        <f>D73</f>
        <v>1455.8</v>
      </c>
    </row>
    <row r="87" ht="16.5" spans="1:4">
      <c r="A87" s="139"/>
      <c r="B87" s="139"/>
      <c r="C87" s="140" t="s">
        <v>213</v>
      </c>
      <c r="D87" s="141">
        <f>D83</f>
        <v>92.25</v>
      </c>
    </row>
    <row r="88" ht="16.5" spans="1:4">
      <c r="A88" s="139"/>
      <c r="B88" s="139"/>
      <c r="C88" s="142" t="s">
        <v>204</v>
      </c>
      <c r="D88" s="143">
        <f>TRUNC((SUM(D85:D87)),2)</f>
        <v>3075.11</v>
      </c>
    </row>
    <row r="89" ht="15.75" spans="1:4">
      <c r="A89" s="128"/>
      <c r="D89" s="135"/>
    </row>
    <row r="90" spans="1:4">
      <c r="A90" s="156" t="s">
        <v>127</v>
      </c>
      <c r="B90" s="156"/>
      <c r="C90" s="156"/>
      <c r="D90" s="156"/>
    </row>
    <row r="91" spans="1:4">
      <c r="A91" s="126" t="s">
        <v>128</v>
      </c>
      <c r="B91" s="126"/>
      <c r="C91" s="126"/>
      <c r="D91" s="126"/>
    </row>
    <row r="92" spans="1:4">
      <c r="A92" s="128" t="s">
        <v>129</v>
      </c>
      <c r="B92" s="133" t="s">
        <v>130</v>
      </c>
      <c r="C92" s="128" t="s">
        <v>38</v>
      </c>
      <c r="D92" s="128" t="s">
        <v>19</v>
      </c>
    </row>
    <row r="93" spans="1:4">
      <c r="A93" s="128" t="s">
        <v>42</v>
      </c>
      <c r="B93" t="s">
        <v>132</v>
      </c>
      <c r="C93" s="151">
        <f>(((1+1/3)/12)/12)+((1/12)/12)</f>
        <v>0.0162037037037037</v>
      </c>
      <c r="D93" s="135">
        <f t="shared" ref="D93:D97" si="2">TRUNC(($D$88*C93),2)</f>
        <v>49.82</v>
      </c>
    </row>
    <row r="94" spans="1:4">
      <c r="A94" s="128" t="s">
        <v>45</v>
      </c>
      <c r="B94" t="s">
        <v>133</v>
      </c>
      <c r="C94" s="145">
        <f>((5/30)/12)</f>
        <v>0.0138888888888889</v>
      </c>
      <c r="D94" s="149">
        <f t="shared" si="2"/>
        <v>42.7</v>
      </c>
    </row>
    <row r="95" spans="1:4">
      <c r="A95" s="128" t="s">
        <v>48</v>
      </c>
      <c r="B95" t="s">
        <v>134</v>
      </c>
      <c r="C95" s="145">
        <f>((5/30)/12)*0.02</f>
        <v>0.000277777777777778</v>
      </c>
      <c r="D95" s="149">
        <f t="shared" si="2"/>
        <v>0.85</v>
      </c>
    </row>
    <row r="96" spans="1:4">
      <c r="A96" s="147" t="s">
        <v>50</v>
      </c>
      <c r="B96" s="152" t="s">
        <v>135</v>
      </c>
      <c r="C96" s="153">
        <f>((15/30)/12)*0.08</f>
        <v>0.00333333333333333</v>
      </c>
      <c r="D96" s="149">
        <f t="shared" si="2"/>
        <v>10.25</v>
      </c>
    </row>
    <row r="97" spans="1:4">
      <c r="A97" s="128" t="s">
        <v>53</v>
      </c>
      <c r="B97" t="s">
        <v>136</v>
      </c>
      <c r="C97" s="145">
        <f>((1+1/3)/12)*0.03*((4/12))</f>
        <v>0.00111111111111111</v>
      </c>
      <c r="D97" s="149">
        <f t="shared" si="2"/>
        <v>3.41</v>
      </c>
    </row>
    <row r="98" spans="1:4">
      <c r="A98" s="128" t="s">
        <v>55</v>
      </c>
      <c r="B98" s="152" t="s">
        <v>215</v>
      </c>
      <c r="C98" s="157">
        <v>0</v>
      </c>
      <c r="D98" s="149">
        <f>TRUNC($D$88*C98)</f>
        <v>0</v>
      </c>
    </row>
    <row r="99" spans="1:4">
      <c r="A99" s="128" t="s">
        <v>58</v>
      </c>
      <c r="C99" s="151">
        <f>SUM(C93:C98)</f>
        <v>0.0348148148148148</v>
      </c>
      <c r="D99" s="135">
        <f>TRUNC((SUM(D93:D98)),2)</f>
        <v>107.03</v>
      </c>
    </row>
    <row r="100" spans="1:4">
      <c r="A100" s="128"/>
      <c r="C100" s="128"/>
      <c r="D100" s="135"/>
    </row>
    <row r="101" spans="1:4">
      <c r="A101" s="126" t="s">
        <v>144</v>
      </c>
      <c r="B101" s="126"/>
      <c r="C101" s="126"/>
      <c r="D101" s="126"/>
    </row>
    <row r="102" spans="1:4">
      <c r="A102" s="128" t="s">
        <v>145</v>
      </c>
      <c r="B102" s="133" t="s">
        <v>146</v>
      </c>
      <c r="C102" s="128" t="s">
        <v>18</v>
      </c>
      <c r="D102" s="128" t="s">
        <v>19</v>
      </c>
    </row>
    <row r="103" ht="75" spans="1:4">
      <c r="A103" s="147" t="s">
        <v>42</v>
      </c>
      <c r="B103" s="158" t="s">
        <v>147</v>
      </c>
      <c r="C103" s="159" t="s">
        <v>216</v>
      </c>
      <c r="D103" s="160" t="s">
        <v>217</v>
      </c>
    </row>
    <row r="104" spans="1:4">
      <c r="A104" s="128" t="s">
        <v>58</v>
      </c>
      <c r="C104" s="161"/>
      <c r="D104" s="162" t="str">
        <f>D103</f>
        <v>*=TRUNCAR(($D$86/220)*(1*(365/12))/2)</v>
      </c>
    </row>
    <row r="106" spans="1:4">
      <c r="A106" s="126" t="s">
        <v>148</v>
      </c>
      <c r="B106" s="126"/>
      <c r="C106" s="126"/>
      <c r="D106" s="126"/>
    </row>
    <row r="107" spans="1:4">
      <c r="A107" s="128" t="s">
        <v>149</v>
      </c>
      <c r="B107" s="133" t="s">
        <v>150</v>
      </c>
      <c r="C107" s="128" t="s">
        <v>18</v>
      </c>
      <c r="D107" s="128" t="s">
        <v>19</v>
      </c>
    </row>
    <row r="108" spans="1:4">
      <c r="A108" s="128" t="s">
        <v>129</v>
      </c>
      <c r="B108" t="s">
        <v>130</v>
      </c>
      <c r="D108" s="130">
        <f>D99</f>
        <v>107.03</v>
      </c>
    </row>
    <row r="109" spans="1:4">
      <c r="A109" s="128" t="s">
        <v>145</v>
      </c>
      <c r="B109" t="s">
        <v>151</v>
      </c>
      <c r="C109" s="133"/>
      <c r="D109" s="163"/>
    </row>
    <row r="110" ht="45" spans="1:4">
      <c r="A110" s="147" t="s">
        <v>58</v>
      </c>
      <c r="B110" s="148"/>
      <c r="C110" s="159" t="s">
        <v>218</v>
      </c>
      <c r="D110" s="164">
        <f>TRUNC((SUM(D108:D109)),2)</f>
        <v>107.03</v>
      </c>
    </row>
    <row r="112" spans="1:4">
      <c r="A112" s="110" t="s">
        <v>152</v>
      </c>
      <c r="B112" s="110"/>
      <c r="C112" s="110"/>
      <c r="D112" s="110"/>
    </row>
    <row r="113" spans="1:4">
      <c r="A113" s="147" t="s">
        <v>153</v>
      </c>
      <c r="B113" s="148" t="s">
        <v>154</v>
      </c>
      <c r="C113" s="147" t="s">
        <v>18</v>
      </c>
      <c r="D113" s="147" t="s">
        <v>19</v>
      </c>
    </row>
    <row r="114" spans="1:4">
      <c r="A114" s="128" t="s">
        <v>42</v>
      </c>
      <c r="B114" t="s">
        <v>219</v>
      </c>
      <c r="D114" s="165">
        <f>Uniformes!G71</f>
        <v>94.27</v>
      </c>
    </row>
    <row r="115" spans="1:4">
      <c r="A115" s="128" t="s">
        <v>45</v>
      </c>
      <c r="B115" t="s">
        <v>220</v>
      </c>
      <c r="D115" s="165">
        <v>0</v>
      </c>
    </row>
    <row r="116" spans="1:4">
      <c r="A116" s="128" t="s">
        <v>48</v>
      </c>
      <c r="B116" t="s">
        <v>156</v>
      </c>
      <c r="D116" s="165">
        <v>0</v>
      </c>
    </row>
    <row r="117" spans="1:4">
      <c r="A117" s="128" t="s">
        <v>50</v>
      </c>
      <c r="B117" t="s">
        <v>157</v>
      </c>
      <c r="D117" s="165">
        <v>0</v>
      </c>
    </row>
    <row r="118" spans="1:4">
      <c r="A118" s="128" t="s">
        <v>53</v>
      </c>
      <c r="B118" t="s">
        <v>221</v>
      </c>
      <c r="C118" s="128"/>
      <c r="D118" s="193">
        <v>0</v>
      </c>
    </row>
    <row r="119" spans="1:4">
      <c r="A119" s="128" t="s">
        <v>58</v>
      </c>
      <c r="D119" s="166">
        <f>SUBTOTAL(109,Módulo562_5811668[Valor])</f>
        <v>94.27</v>
      </c>
    </row>
    <row r="120" ht="15.75"/>
    <row r="121" ht="16.5" spans="1:4">
      <c r="A121" s="139" t="s">
        <v>222</v>
      </c>
      <c r="B121" s="139"/>
      <c r="C121" s="140" t="s">
        <v>202</v>
      </c>
      <c r="D121" s="141">
        <f>D31</f>
        <v>1527.06</v>
      </c>
    </row>
    <row r="122" ht="16.5" spans="1:4">
      <c r="A122" s="139"/>
      <c r="B122" s="139"/>
      <c r="C122" s="142" t="s">
        <v>212</v>
      </c>
      <c r="D122" s="141">
        <f>D73</f>
        <v>1455.8</v>
      </c>
    </row>
    <row r="123" ht="16.5" spans="1:4">
      <c r="A123" s="139"/>
      <c r="B123" s="139"/>
      <c r="C123" s="140" t="s">
        <v>213</v>
      </c>
      <c r="D123" s="141">
        <f>D83</f>
        <v>92.25</v>
      </c>
    </row>
    <row r="124" ht="16.5" spans="1:4">
      <c r="A124" s="139"/>
      <c r="B124" s="139"/>
      <c r="C124" s="142" t="s">
        <v>223</v>
      </c>
      <c r="D124" s="141">
        <f>D110</f>
        <v>107.03</v>
      </c>
    </row>
    <row r="125" ht="16.5" spans="1:4">
      <c r="A125" s="139"/>
      <c r="B125" s="139"/>
      <c r="C125" s="140" t="s">
        <v>224</v>
      </c>
      <c r="D125" s="141">
        <f>D119</f>
        <v>94.27</v>
      </c>
    </row>
    <row r="126" ht="16.5" spans="1:4">
      <c r="A126" s="139"/>
      <c r="B126" s="139"/>
      <c r="C126" s="142" t="s">
        <v>204</v>
      </c>
      <c r="D126" s="143">
        <f>TRUNC((SUM(D121:D125)),2)</f>
        <v>3276.41</v>
      </c>
    </row>
    <row r="127" ht="15.75"/>
    <row r="128" spans="1:4">
      <c r="A128" s="110" t="s">
        <v>164</v>
      </c>
      <c r="B128" s="110"/>
      <c r="C128" s="110"/>
      <c r="D128" s="110"/>
    </row>
    <row r="129" ht="15.75" spans="1:7">
      <c r="A129" s="128" t="s">
        <v>165</v>
      </c>
      <c r="B129" t="s">
        <v>166</v>
      </c>
      <c r="C129" s="128" t="s">
        <v>38</v>
      </c>
      <c r="D129" s="128" t="s">
        <v>19</v>
      </c>
      <c r="F129" s="167" t="s">
        <v>225</v>
      </c>
      <c r="G129" s="167"/>
    </row>
    <row r="130" ht="15.75" spans="1:7">
      <c r="A130" s="128" t="s">
        <v>42</v>
      </c>
      <c r="B130" t="s">
        <v>167</v>
      </c>
      <c r="C130" s="168">
        <v>0.04</v>
      </c>
      <c r="D130" s="165">
        <f>TRUNC(($D$126*C130),2)</f>
        <v>131.05</v>
      </c>
      <c r="F130" s="169" t="s">
        <v>226</v>
      </c>
      <c r="G130" s="153">
        <f>C132</f>
        <v>0.0865</v>
      </c>
    </row>
    <row r="131" ht="15.75" spans="1:7">
      <c r="A131" s="128" t="s">
        <v>45</v>
      </c>
      <c r="B131" t="s">
        <v>59</v>
      </c>
      <c r="C131" s="168">
        <v>0.05</v>
      </c>
      <c r="D131" s="165">
        <f>TRUNC((C131*(D126+D130)),2)</f>
        <v>170.37</v>
      </c>
      <c r="F131" s="170" t="s">
        <v>227</v>
      </c>
      <c r="G131" s="171">
        <f>TRUNC(SUM(D126,D130,D131),2)</f>
        <v>3577.83</v>
      </c>
    </row>
    <row r="132" ht="15.75" spans="1:7">
      <c r="A132" s="128" t="s">
        <v>48</v>
      </c>
      <c r="B132" t="s">
        <v>168</v>
      </c>
      <c r="C132" s="145">
        <f>SUM(C133:C135)</f>
        <v>0.0865</v>
      </c>
      <c r="D132" s="130">
        <f>TRUNC(SUM(D133:D135),2)</f>
        <v>338.77</v>
      </c>
      <c r="F132" s="169" t="s">
        <v>228</v>
      </c>
      <c r="G132" s="172">
        <f>(100-8.65)/100</f>
        <v>0.9135</v>
      </c>
    </row>
    <row r="133" ht="15.75" spans="1:7">
      <c r="A133" s="128"/>
      <c r="B133" t="s">
        <v>229</v>
      </c>
      <c r="C133" s="145">
        <v>0.0065</v>
      </c>
      <c r="D133" s="130">
        <f t="shared" ref="D133:D135" si="3">TRUNC(($G$133*C133),2)</f>
        <v>25.45</v>
      </c>
      <c r="F133" s="170" t="s">
        <v>225</v>
      </c>
      <c r="G133" s="171">
        <f>TRUNC((G131/G132),2)</f>
        <v>3916.61</v>
      </c>
    </row>
    <row r="134" ht="15.75" spans="1:4">
      <c r="A134" s="128"/>
      <c r="B134" t="s">
        <v>230</v>
      </c>
      <c r="C134" s="145">
        <v>0.03</v>
      </c>
      <c r="D134" s="130">
        <f t="shared" si="3"/>
        <v>117.49</v>
      </c>
    </row>
    <row r="135" spans="1:4">
      <c r="A135" s="128"/>
      <c r="B135" t="s">
        <v>231</v>
      </c>
      <c r="C135" s="145">
        <v>0.05</v>
      </c>
      <c r="D135" s="130">
        <f t="shared" si="3"/>
        <v>195.83</v>
      </c>
    </row>
    <row r="136" spans="1:4">
      <c r="A136" s="128" t="s">
        <v>58</v>
      </c>
      <c r="B136" s="194"/>
      <c r="C136" s="173"/>
      <c r="D136" s="135">
        <f>TRUNC(SUM(D130:D132),2)</f>
        <v>640.19</v>
      </c>
    </row>
    <row r="137" spans="1:4">
      <c r="A137" s="128"/>
      <c r="C137" s="173"/>
      <c r="D137" s="135"/>
    </row>
    <row r="139" spans="1:4">
      <c r="A139" s="110" t="s">
        <v>172</v>
      </c>
      <c r="B139" s="110"/>
      <c r="C139" s="110"/>
      <c r="D139" s="110"/>
    </row>
    <row r="140" spans="1:4">
      <c r="A140" s="128" t="s">
        <v>16</v>
      </c>
      <c r="B140" s="128" t="s">
        <v>173</v>
      </c>
      <c r="C140" s="128" t="s">
        <v>102</v>
      </c>
      <c r="D140" s="128" t="s">
        <v>19</v>
      </c>
    </row>
    <row r="141" spans="1:4">
      <c r="A141" s="128" t="s">
        <v>42</v>
      </c>
      <c r="B141" t="s">
        <v>36</v>
      </c>
      <c r="D141" s="135">
        <f>D31</f>
        <v>1527.06</v>
      </c>
    </row>
    <row r="142" spans="1:4">
      <c r="A142" s="128" t="s">
        <v>45</v>
      </c>
      <c r="B142" t="s">
        <v>61</v>
      </c>
      <c r="D142" s="135">
        <f>D73</f>
        <v>1455.8</v>
      </c>
    </row>
    <row r="143" spans="1:4">
      <c r="A143" s="128" t="s">
        <v>48</v>
      </c>
      <c r="B143" t="s">
        <v>108</v>
      </c>
      <c r="D143" s="135">
        <f>D83</f>
        <v>92.25</v>
      </c>
    </row>
    <row r="144" spans="1:4">
      <c r="A144" s="128" t="s">
        <v>50</v>
      </c>
      <c r="B144" t="s">
        <v>174</v>
      </c>
      <c r="D144" s="135">
        <f>D110</f>
        <v>107.03</v>
      </c>
    </row>
    <row r="145" spans="1:4">
      <c r="A145" s="128" t="s">
        <v>53</v>
      </c>
      <c r="B145" t="s">
        <v>152</v>
      </c>
      <c r="D145" s="135">
        <f>D119</f>
        <v>94.27</v>
      </c>
    </row>
    <row r="146" spans="2:4">
      <c r="B146" s="174" t="s">
        <v>232</v>
      </c>
      <c r="D146" s="135">
        <f>TRUNC(SUM(D141:D145),2)</f>
        <v>3276.41</v>
      </c>
    </row>
    <row r="147" spans="1:4">
      <c r="A147" s="128" t="s">
        <v>55</v>
      </c>
      <c r="B147" t="s">
        <v>164</v>
      </c>
      <c r="D147" s="135">
        <f>D136</f>
        <v>640.19</v>
      </c>
    </row>
    <row r="148" spans="1:4">
      <c r="A148" s="175"/>
      <c r="B148" s="176" t="s">
        <v>233</v>
      </c>
      <c r="C148" s="175"/>
      <c r="D148" s="177">
        <f>TRUNC((SUM(D141:D145)+D147),2)</f>
        <v>3916.6</v>
      </c>
    </row>
  </sheetData>
  <mergeCells count="33">
    <mergeCell ref="A2:D2"/>
    <mergeCell ref="A3:D3"/>
    <mergeCell ref="A6:D6"/>
    <mergeCell ref="C7:D7"/>
    <mergeCell ref="C8:D8"/>
    <mergeCell ref="C9:D9"/>
    <mergeCell ref="C10:D10"/>
    <mergeCell ref="A11:D11"/>
    <mergeCell ref="A12:B12"/>
    <mergeCell ref="A13:B13"/>
    <mergeCell ref="A14:B14"/>
    <mergeCell ref="A15:D15"/>
    <mergeCell ref="F15:G15"/>
    <mergeCell ref="F22:G22"/>
    <mergeCell ref="A23:D23"/>
    <mergeCell ref="F31:G31"/>
    <mergeCell ref="A33:D33"/>
    <mergeCell ref="A35:D35"/>
    <mergeCell ref="A45:D45"/>
    <mergeCell ref="A57:D57"/>
    <mergeCell ref="A68:D68"/>
    <mergeCell ref="A75:D75"/>
    <mergeCell ref="A90:D90"/>
    <mergeCell ref="A91:D91"/>
    <mergeCell ref="A101:D101"/>
    <mergeCell ref="A106:D106"/>
    <mergeCell ref="A112:D112"/>
    <mergeCell ref="A128:D128"/>
    <mergeCell ref="F129:G129"/>
    <mergeCell ref="A139:D139"/>
    <mergeCell ref="A41:B43"/>
    <mergeCell ref="A85:B88"/>
    <mergeCell ref="A121:B126"/>
  </mergeCells>
  <pageMargins left="0.75" right="0.75" top="1" bottom="1" header="0.5" footer="0.5"/>
  <pageSetup paperSize="9" scale="95" orientation="landscape"/>
  <headerFooter/>
  <tableParts count="13">
    <tablePart r:id="rId1"/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</tablePart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G148"/>
  <sheetViews>
    <sheetView workbookViewId="0">
      <selection activeCell="D148" sqref="A1:D148"/>
    </sheetView>
  </sheetViews>
  <sheetFormatPr defaultColWidth="9.14285714285714" defaultRowHeight="15" outlineLevelCol="6"/>
  <cols>
    <col min="1" max="1" width="11.3619047619048" customWidth="1"/>
    <col min="2" max="2" width="45.0571428571429" customWidth="1"/>
    <col min="3" max="3" width="29.1333333333333" customWidth="1"/>
    <col min="4" max="4" width="38.1428571428571" customWidth="1"/>
    <col min="6" max="6" width="22.8571428571429" customWidth="1"/>
    <col min="7" max="7" width="11.4285714285714" customWidth="1"/>
    <col min="9" max="9" width="11.4285714285714" customWidth="1"/>
  </cols>
  <sheetData>
    <row r="2" ht="19.5" spans="1:4">
      <c r="A2" s="103" t="s">
        <v>177</v>
      </c>
      <c r="B2" s="103"/>
      <c r="C2" s="103"/>
      <c r="D2" s="103"/>
    </row>
    <row r="3" ht="15.75" spans="1:4">
      <c r="A3" s="104" t="s">
        <v>178</v>
      </c>
      <c r="B3" s="104"/>
      <c r="C3" s="104"/>
      <c r="D3" s="104"/>
    </row>
    <row r="4" spans="1:4">
      <c r="A4" s="105" t="s">
        <v>179</v>
      </c>
      <c r="B4" s="106" t="s">
        <v>180</v>
      </c>
      <c r="C4" s="107"/>
      <c r="D4" s="107"/>
    </row>
    <row r="5" spans="1:4">
      <c r="A5" s="108"/>
      <c r="B5" s="109"/>
      <c r="C5" s="109"/>
      <c r="D5" s="109"/>
    </row>
    <row r="6" ht="15.75" spans="1:4">
      <c r="A6" s="110" t="s">
        <v>181</v>
      </c>
      <c r="B6" s="110"/>
      <c r="C6" s="110"/>
      <c r="D6" s="110"/>
    </row>
    <row r="7" ht="15.75" spans="1:4">
      <c r="A7" s="111" t="s">
        <v>42</v>
      </c>
      <c r="B7" s="112" t="s">
        <v>182</v>
      </c>
      <c r="C7" s="113" t="s">
        <v>183</v>
      </c>
      <c r="D7" s="113"/>
    </row>
    <row r="8" spans="1:4">
      <c r="A8" s="114" t="s">
        <v>45</v>
      </c>
      <c r="B8" s="115" t="s">
        <v>184</v>
      </c>
      <c r="C8" s="116" t="s">
        <v>185</v>
      </c>
      <c r="D8" s="116"/>
    </row>
    <row r="9" spans="1:4">
      <c r="A9" s="117" t="s">
        <v>48</v>
      </c>
      <c r="B9" s="118" t="s">
        <v>186</v>
      </c>
      <c r="C9" s="116" t="s">
        <v>187</v>
      </c>
      <c r="D9" s="116"/>
    </row>
    <row r="10" spans="1:4">
      <c r="A10" s="114" t="s">
        <v>53</v>
      </c>
      <c r="B10" s="115" t="s">
        <v>188</v>
      </c>
      <c r="C10" s="116" t="s">
        <v>189</v>
      </c>
      <c r="D10" s="116"/>
    </row>
    <row r="11" ht="15.75" spans="1:4">
      <c r="A11" s="119" t="s">
        <v>190</v>
      </c>
      <c r="B11" s="119"/>
      <c r="C11" s="119"/>
      <c r="D11" s="119"/>
    </row>
    <row r="12" ht="16.5" spans="1:4">
      <c r="A12" s="120" t="s">
        <v>191</v>
      </c>
      <c r="B12" s="120"/>
      <c r="C12" s="119" t="s">
        <v>192</v>
      </c>
      <c r="D12" s="121" t="s">
        <v>193</v>
      </c>
    </row>
    <row r="13" ht="15.75" spans="1:4">
      <c r="A13" s="122" t="s">
        <v>240</v>
      </c>
      <c r="B13" s="122"/>
      <c r="C13" s="116" t="s">
        <v>195</v>
      </c>
      <c r="D13" s="123">
        <f>RESUMO!D5</f>
        <v>2</v>
      </c>
    </row>
    <row r="14" spans="1:4">
      <c r="A14" s="124"/>
      <c r="B14" s="124"/>
      <c r="C14" s="116"/>
      <c r="D14" s="125"/>
    </row>
    <row r="15" ht="15.75" spans="1:7">
      <c r="A15" s="119" t="s">
        <v>14</v>
      </c>
      <c r="B15" s="119"/>
      <c r="C15" s="119"/>
      <c r="D15" s="119"/>
      <c r="F15" s="126"/>
      <c r="G15" s="126"/>
    </row>
    <row r="16" ht="15.75" spans="1:4">
      <c r="A16" s="128" t="s">
        <v>16</v>
      </c>
      <c r="B16" t="s">
        <v>17</v>
      </c>
      <c r="C16" s="128" t="s">
        <v>18</v>
      </c>
      <c r="D16" s="128" t="s">
        <v>19</v>
      </c>
    </row>
    <row r="17" spans="1:4">
      <c r="A17" s="128">
        <v>1</v>
      </c>
      <c r="B17" t="s">
        <v>20</v>
      </c>
      <c r="C17" s="129" t="s">
        <v>102</v>
      </c>
      <c r="D17" s="129" t="str">
        <f>A13</f>
        <v>Copeiro(a)</v>
      </c>
    </row>
    <row r="18" spans="1:4">
      <c r="A18" s="128">
        <v>2</v>
      </c>
      <c r="B18" t="s">
        <v>23</v>
      </c>
      <c r="C18" s="129" t="s">
        <v>196</v>
      </c>
      <c r="D18" s="129" t="s">
        <v>241</v>
      </c>
    </row>
    <row r="19" spans="1:4">
      <c r="A19" s="128">
        <v>3</v>
      </c>
      <c r="B19" t="s">
        <v>26</v>
      </c>
      <c r="C19" s="129" t="str">
        <f>C9</f>
        <v>CCT PB000517/2021</v>
      </c>
      <c r="D19" s="130">
        <v>1213.74</v>
      </c>
    </row>
    <row r="20" spans="1:4">
      <c r="A20" s="128">
        <v>4</v>
      </c>
      <c r="B20" t="s">
        <v>29</v>
      </c>
      <c r="C20" s="129" t="str">
        <f>C9</f>
        <v>CCT PB000517/2021</v>
      </c>
      <c r="D20" s="131" t="s">
        <v>198</v>
      </c>
    </row>
    <row r="21" spans="1:4">
      <c r="A21" s="128">
        <v>5</v>
      </c>
      <c r="B21" t="s">
        <v>33</v>
      </c>
      <c r="C21" s="129" t="str">
        <f>C9</f>
        <v>CCT PB000517/2021</v>
      </c>
      <c r="D21" s="132" t="s">
        <v>199</v>
      </c>
    </row>
    <row r="22" spans="6:7">
      <c r="F22" s="126"/>
      <c r="G22" s="126"/>
    </row>
    <row r="23" spans="1:4">
      <c r="A23" s="110" t="s">
        <v>36</v>
      </c>
      <c r="B23" s="110"/>
      <c r="C23" s="110"/>
      <c r="D23" s="110"/>
    </row>
    <row r="24" spans="1:7">
      <c r="A24" s="128" t="s">
        <v>39</v>
      </c>
      <c r="B24" s="133" t="s">
        <v>40</v>
      </c>
      <c r="C24" s="128" t="s">
        <v>18</v>
      </c>
      <c r="D24" s="128" t="s">
        <v>19</v>
      </c>
      <c r="G24" s="179"/>
    </row>
    <row r="25" spans="1:7">
      <c r="A25" s="128" t="s">
        <v>42</v>
      </c>
      <c r="B25" t="s">
        <v>43</v>
      </c>
      <c r="C25" s="131" t="s">
        <v>242</v>
      </c>
      <c r="D25" s="130">
        <f>D19</f>
        <v>1213.74</v>
      </c>
      <c r="G25" s="179"/>
    </row>
    <row r="26" spans="1:7">
      <c r="A26" s="128" t="s">
        <v>45</v>
      </c>
      <c r="B26" t="s">
        <v>46</v>
      </c>
      <c r="C26" s="131"/>
      <c r="D26" s="146">
        <v>0</v>
      </c>
      <c r="G26" s="179"/>
    </row>
    <row r="27" spans="1:4">
      <c r="A27" s="128" t="s">
        <v>48</v>
      </c>
      <c r="B27" t="s">
        <v>49</v>
      </c>
      <c r="C27" s="131"/>
      <c r="D27" s="130">
        <v>0</v>
      </c>
    </row>
    <row r="28" spans="1:4">
      <c r="A28" s="128" t="s">
        <v>50</v>
      </c>
      <c r="B28" t="s">
        <v>51</v>
      </c>
      <c r="C28" s="131"/>
      <c r="D28" s="130">
        <v>0</v>
      </c>
    </row>
    <row r="29" spans="1:4">
      <c r="A29" s="128" t="s">
        <v>53</v>
      </c>
      <c r="B29" t="s">
        <v>54</v>
      </c>
      <c r="C29" s="131"/>
      <c r="D29" s="130">
        <v>0</v>
      </c>
    </row>
    <row r="30" spans="1:4">
      <c r="A30" s="128" t="s">
        <v>55</v>
      </c>
      <c r="B30" t="s">
        <v>56</v>
      </c>
      <c r="C30" s="131"/>
      <c r="D30" s="130">
        <v>0</v>
      </c>
    </row>
    <row r="31" spans="1:7">
      <c r="A31" s="128" t="s">
        <v>58</v>
      </c>
      <c r="C31" s="128"/>
      <c r="D31" s="135">
        <f>TRUNC(SUM(D25:D30),2)</f>
        <v>1213.74</v>
      </c>
      <c r="F31" s="126"/>
      <c r="G31" s="126"/>
    </row>
    <row r="33" spans="1:7">
      <c r="A33" s="136" t="s">
        <v>61</v>
      </c>
      <c r="B33" s="136"/>
      <c r="C33" s="136"/>
      <c r="D33" s="136"/>
      <c r="G33" s="179"/>
    </row>
    <row r="35" spans="1:4">
      <c r="A35" s="126" t="s">
        <v>63</v>
      </c>
      <c r="B35" s="126"/>
      <c r="C35" s="126"/>
      <c r="D35" s="126"/>
    </row>
    <row r="36" spans="1:4">
      <c r="A36" s="128" t="s">
        <v>65</v>
      </c>
      <c r="B36" s="133" t="s">
        <v>66</v>
      </c>
      <c r="C36" s="128" t="s">
        <v>38</v>
      </c>
      <c r="D36" s="128" t="s">
        <v>19</v>
      </c>
    </row>
    <row r="37" spans="1:7">
      <c r="A37" s="128" t="s">
        <v>42</v>
      </c>
      <c r="B37" t="s">
        <v>67</v>
      </c>
      <c r="C37" s="137">
        <f>(1/12)</f>
        <v>0.0833333333333333</v>
      </c>
      <c r="D37" s="135">
        <f>TRUNC($D$31*C37,2)</f>
        <v>101.14</v>
      </c>
      <c r="F37" s="138"/>
      <c r="G37" s="138"/>
    </row>
    <row r="38" spans="1:7">
      <c r="A38" s="128" t="s">
        <v>45</v>
      </c>
      <c r="B38" t="s">
        <v>68</v>
      </c>
      <c r="C38" s="137">
        <f>(((1+1/3)/12))</f>
        <v>0.111111111111111</v>
      </c>
      <c r="D38" s="135">
        <f>TRUNC($D$31*C38,2)</f>
        <v>134.86</v>
      </c>
      <c r="F38" s="138"/>
      <c r="G38" s="138"/>
    </row>
    <row r="39" spans="1:7">
      <c r="A39" s="128" t="s">
        <v>58</v>
      </c>
      <c r="D39" s="135">
        <f>TRUNC((SUM(D37:D38)),2)</f>
        <v>236</v>
      </c>
      <c r="F39" s="138"/>
      <c r="G39" s="138"/>
    </row>
    <row r="40" ht="15.75" spans="4:7">
      <c r="D40" s="135"/>
      <c r="F40" s="138"/>
      <c r="G40" s="138"/>
    </row>
    <row r="41" ht="16.5" spans="1:7">
      <c r="A41" s="139" t="s">
        <v>201</v>
      </c>
      <c r="B41" s="139"/>
      <c r="C41" s="140" t="s">
        <v>202</v>
      </c>
      <c r="D41" s="141">
        <f>D31</f>
        <v>1213.74</v>
      </c>
      <c r="F41" s="138"/>
      <c r="G41" s="138"/>
    </row>
    <row r="42" ht="16.5" spans="1:7">
      <c r="A42" s="139"/>
      <c r="B42" s="139"/>
      <c r="C42" s="142" t="s">
        <v>203</v>
      </c>
      <c r="D42" s="141">
        <f>D39</f>
        <v>236</v>
      </c>
      <c r="F42" s="138"/>
      <c r="G42" s="138"/>
    </row>
    <row r="43" ht="16.5" spans="1:7">
      <c r="A43" s="139"/>
      <c r="B43" s="139"/>
      <c r="C43" s="140" t="s">
        <v>204</v>
      </c>
      <c r="D43" s="143">
        <f>TRUNC((SUM(D41:D42)),2)</f>
        <v>1449.74</v>
      </c>
      <c r="F43" s="138"/>
      <c r="G43" s="138"/>
    </row>
    <row r="44" ht="15.75" spans="1:7">
      <c r="A44" s="128"/>
      <c r="C44" s="144"/>
      <c r="D44" s="135"/>
      <c r="F44" s="138"/>
      <c r="G44" s="138"/>
    </row>
    <row r="45" spans="1:4">
      <c r="A45" s="126" t="s">
        <v>77</v>
      </c>
      <c r="B45" s="126"/>
      <c r="C45" s="126"/>
      <c r="D45" s="126"/>
    </row>
    <row r="46" spans="1:4">
      <c r="A46" s="128" t="s">
        <v>78</v>
      </c>
      <c r="B46" s="133" t="s">
        <v>79</v>
      </c>
      <c r="C46" s="128" t="s">
        <v>38</v>
      </c>
      <c r="D46" s="128" t="s">
        <v>80</v>
      </c>
    </row>
    <row r="47" spans="1:4">
      <c r="A47" s="128" t="s">
        <v>42</v>
      </c>
      <c r="B47" t="s">
        <v>81</v>
      </c>
      <c r="C47" s="137">
        <v>0.2</v>
      </c>
      <c r="D47" s="135">
        <f t="shared" ref="D47:D54" si="0">TRUNC(($D$43*C47),2)</f>
        <v>289.94</v>
      </c>
    </row>
    <row r="48" spans="1:4">
      <c r="A48" s="128" t="s">
        <v>45</v>
      </c>
      <c r="B48" t="s">
        <v>82</v>
      </c>
      <c r="C48" s="137">
        <v>0.025</v>
      </c>
      <c r="D48" s="135">
        <f t="shared" si="0"/>
        <v>36.24</v>
      </c>
    </row>
    <row r="49" spans="1:4">
      <c r="A49" s="128" t="s">
        <v>48</v>
      </c>
      <c r="B49" t="s">
        <v>205</v>
      </c>
      <c r="C49" s="145">
        <v>0.06</v>
      </c>
      <c r="D49" s="130">
        <f t="shared" si="0"/>
        <v>86.98</v>
      </c>
    </row>
    <row r="50" spans="1:4">
      <c r="A50" s="128" t="s">
        <v>50</v>
      </c>
      <c r="B50" t="s">
        <v>84</v>
      </c>
      <c r="C50" s="137">
        <v>0.015</v>
      </c>
      <c r="D50" s="135">
        <f t="shared" si="0"/>
        <v>21.74</v>
      </c>
    </row>
    <row r="51" spans="1:4">
      <c r="A51" s="128" t="s">
        <v>53</v>
      </c>
      <c r="B51" t="s">
        <v>85</v>
      </c>
      <c r="C51" s="137">
        <v>0.01</v>
      </c>
      <c r="D51" s="135">
        <f t="shared" si="0"/>
        <v>14.49</v>
      </c>
    </row>
    <row r="52" spans="1:4">
      <c r="A52" s="128" t="s">
        <v>55</v>
      </c>
      <c r="B52" t="s">
        <v>86</v>
      </c>
      <c r="C52" s="137">
        <v>0.006</v>
      </c>
      <c r="D52" s="135">
        <f t="shared" si="0"/>
        <v>8.69</v>
      </c>
    </row>
    <row r="53" spans="1:4">
      <c r="A53" s="128" t="s">
        <v>87</v>
      </c>
      <c r="B53" t="s">
        <v>88</v>
      </c>
      <c r="C53" s="137">
        <v>0.002</v>
      </c>
      <c r="D53" s="135">
        <f t="shared" si="0"/>
        <v>2.89</v>
      </c>
    </row>
    <row r="54" spans="1:4">
      <c r="A54" s="128" t="s">
        <v>89</v>
      </c>
      <c r="B54" t="s">
        <v>90</v>
      </c>
      <c r="C54" s="137">
        <v>0.08</v>
      </c>
      <c r="D54" s="135">
        <f t="shared" si="0"/>
        <v>115.97</v>
      </c>
    </row>
    <row r="55" spans="1:4">
      <c r="A55" s="128" t="s">
        <v>58</v>
      </c>
      <c r="C55" s="144">
        <f>SUM(C47:C54)</f>
        <v>0.398</v>
      </c>
      <c r="D55" s="135">
        <f>TRUNC((SUM(D47:D54)),2)</f>
        <v>576.94</v>
      </c>
    </row>
    <row r="56" spans="1:4">
      <c r="A56" s="128"/>
      <c r="C56" s="144"/>
      <c r="D56" s="135"/>
    </row>
    <row r="57" spans="1:4">
      <c r="A57" s="126" t="s">
        <v>95</v>
      </c>
      <c r="B57" s="126"/>
      <c r="C57" s="126"/>
      <c r="D57" s="126"/>
    </row>
    <row r="58" spans="1:4">
      <c r="A58" s="128" t="s">
        <v>96</v>
      </c>
      <c r="B58" s="133" t="s">
        <v>97</v>
      </c>
      <c r="C58" s="128" t="s">
        <v>18</v>
      </c>
      <c r="D58" s="128" t="s">
        <v>19</v>
      </c>
    </row>
    <row r="59" spans="1:4">
      <c r="A59" s="128" t="s">
        <v>42</v>
      </c>
      <c r="B59" t="s">
        <v>98</v>
      </c>
      <c r="C59" s="129"/>
      <c r="D59" s="146">
        <v>0</v>
      </c>
    </row>
    <row r="60" spans="1:4">
      <c r="A60" s="128" t="s">
        <v>45</v>
      </c>
      <c r="B60" t="s">
        <v>99</v>
      </c>
      <c r="C60" s="129" t="str">
        <f>C9</f>
        <v>CCT PB000517/2021</v>
      </c>
      <c r="D60" s="130">
        <f>TRUNC((((460))-(((460))*0.2)),2)</f>
        <v>368</v>
      </c>
    </row>
    <row r="61" spans="1:4">
      <c r="A61" s="128" t="s">
        <v>48</v>
      </c>
      <c r="B61" t="s">
        <v>100</v>
      </c>
      <c r="C61" s="129"/>
      <c r="D61" s="130">
        <v>0</v>
      </c>
    </row>
    <row r="62" spans="1:6">
      <c r="A62" s="147" t="s">
        <v>50</v>
      </c>
      <c r="B62" s="148" t="s">
        <v>206</v>
      </c>
      <c r="C62" s="149"/>
      <c r="D62" s="149">
        <v>0</v>
      </c>
      <c r="F62" s="148"/>
    </row>
    <row r="63" spans="1:4">
      <c r="A63" s="147" t="s">
        <v>53</v>
      </c>
      <c r="B63" s="133" t="s">
        <v>207</v>
      </c>
      <c r="C63" s="129" t="s">
        <v>187</v>
      </c>
      <c r="D63" s="130">
        <v>20</v>
      </c>
    </row>
    <row r="64" spans="1:4">
      <c r="A64" s="147" t="s">
        <v>55</v>
      </c>
      <c r="B64" s="150" t="s">
        <v>208</v>
      </c>
      <c r="C64" s="129" t="s">
        <v>187</v>
      </c>
      <c r="D64" s="130">
        <v>5</v>
      </c>
    </row>
    <row r="65" spans="1:4">
      <c r="A65" s="147" t="s">
        <v>87</v>
      </c>
      <c r="B65" s="150" t="s">
        <v>209</v>
      </c>
      <c r="C65" s="149" t="s">
        <v>187</v>
      </c>
      <c r="D65" s="130">
        <v>40</v>
      </c>
    </row>
    <row r="66" spans="1:4">
      <c r="A66" s="128" t="s">
        <v>58</v>
      </c>
      <c r="D66" s="135">
        <f>TRUNC((SUM(D59:D65)),2)</f>
        <v>433</v>
      </c>
    </row>
    <row r="67" spans="1:4">
      <c r="A67" s="128"/>
      <c r="D67" s="135"/>
    </row>
    <row r="68" spans="1:4">
      <c r="A68" s="126" t="s">
        <v>105</v>
      </c>
      <c r="B68" s="126"/>
      <c r="C68" s="126"/>
      <c r="D68" s="126"/>
    </row>
    <row r="69" spans="1:4">
      <c r="A69" s="128" t="s">
        <v>106</v>
      </c>
      <c r="B69" s="133" t="s">
        <v>107</v>
      </c>
      <c r="C69" s="128" t="s">
        <v>18</v>
      </c>
      <c r="D69" s="128" t="s">
        <v>19</v>
      </c>
    </row>
    <row r="70" spans="1:4">
      <c r="A70" s="128" t="s">
        <v>65</v>
      </c>
      <c r="B70" t="s">
        <v>66</v>
      </c>
      <c r="C70" s="128"/>
      <c r="D70" s="135">
        <f>D39</f>
        <v>236</v>
      </c>
    </row>
    <row r="71" spans="1:4">
      <c r="A71" s="128" t="s">
        <v>78</v>
      </c>
      <c r="B71" t="s">
        <v>79</v>
      </c>
      <c r="C71" s="128"/>
      <c r="D71" s="135">
        <f>D55</f>
        <v>576.94</v>
      </c>
    </row>
    <row r="72" spans="1:4">
      <c r="A72" s="128" t="s">
        <v>96</v>
      </c>
      <c r="B72" t="s">
        <v>97</v>
      </c>
      <c r="C72" s="128"/>
      <c r="D72" s="135">
        <f>D66</f>
        <v>433</v>
      </c>
    </row>
    <row r="73" spans="1:4">
      <c r="A73" s="128" t="s">
        <v>58</v>
      </c>
      <c r="C73" s="128"/>
      <c r="D73" s="135">
        <f>TRUNC((SUM(D70:D72)),2)</f>
        <v>1245.94</v>
      </c>
    </row>
    <row r="75" spans="1:4">
      <c r="A75" s="110" t="s">
        <v>108</v>
      </c>
      <c r="B75" s="110"/>
      <c r="C75" s="110"/>
      <c r="D75" s="110"/>
    </row>
    <row r="76" spans="1:4">
      <c r="A76" s="128" t="s">
        <v>109</v>
      </c>
      <c r="B76" s="133" t="s">
        <v>110</v>
      </c>
      <c r="C76" s="128" t="s">
        <v>38</v>
      </c>
      <c r="D76" s="128" t="s">
        <v>19</v>
      </c>
    </row>
    <row r="77" spans="1:4">
      <c r="A77" s="128" t="s">
        <v>42</v>
      </c>
      <c r="B77" t="s">
        <v>111</v>
      </c>
      <c r="C77" s="145">
        <f>((1/12)*2%)</f>
        <v>0.00166666666666667</v>
      </c>
      <c r="D77" s="185">
        <f>TRUNC(($D$31*C77),2)</f>
        <v>2.02</v>
      </c>
    </row>
    <row r="78" spans="1:4">
      <c r="A78" s="128" t="s">
        <v>45</v>
      </c>
      <c r="B78" t="s">
        <v>112</v>
      </c>
      <c r="C78" s="151">
        <v>0.08</v>
      </c>
      <c r="D78" s="180">
        <f>TRUNC(($D$77*C78),2)</f>
        <v>0.16</v>
      </c>
    </row>
    <row r="79" ht="30" spans="1:4">
      <c r="A79" s="128" t="s">
        <v>48</v>
      </c>
      <c r="B79" s="152" t="s">
        <v>113</v>
      </c>
      <c r="C79" s="153">
        <f>(0.08*0.4*0.02)</f>
        <v>0.00064</v>
      </c>
      <c r="D79" s="185">
        <f>TRUNC(($D$31*C79),2)</f>
        <v>0.77</v>
      </c>
    </row>
    <row r="80" spans="1:4">
      <c r="A80" s="128" t="s">
        <v>50</v>
      </c>
      <c r="B80" t="s">
        <v>114</v>
      </c>
      <c r="C80" s="154">
        <f>(((7/30)/12)*0.98)</f>
        <v>0.0190555555555556</v>
      </c>
      <c r="D80" s="186">
        <f>TRUNC(($D$31*C80),2)</f>
        <v>23.12</v>
      </c>
    </row>
    <row r="81" ht="30" spans="1:4">
      <c r="A81" s="128" t="s">
        <v>53</v>
      </c>
      <c r="B81" s="152" t="s">
        <v>210</v>
      </c>
      <c r="C81" s="153">
        <f>C55</f>
        <v>0.398</v>
      </c>
      <c r="D81" s="185">
        <f>TRUNC(($D$80*C81),2)</f>
        <v>9.2</v>
      </c>
    </row>
    <row r="82" ht="30" spans="1:4">
      <c r="A82" s="128" t="s">
        <v>55</v>
      </c>
      <c r="B82" s="152" t="s">
        <v>115</v>
      </c>
      <c r="C82" s="154">
        <f>(0.08*0.4*0.98)</f>
        <v>0.03136</v>
      </c>
      <c r="D82" s="185">
        <f>TRUNC(($D$31*C82),2)</f>
        <v>38.06</v>
      </c>
    </row>
    <row r="83" spans="1:4">
      <c r="A83" s="128" t="s">
        <v>58</v>
      </c>
      <c r="C83" s="151">
        <f>SUM(C77:C82)</f>
        <v>0.530722222222222</v>
      </c>
      <c r="D83" s="135">
        <f>TRUNC((SUM(D77:D82)),2)</f>
        <v>73.33</v>
      </c>
    </row>
    <row r="84" ht="15.75" spans="1:4">
      <c r="A84" s="128"/>
      <c r="D84" s="135"/>
    </row>
    <row r="85" ht="16.5" spans="1:4">
      <c r="A85" s="139" t="s">
        <v>211</v>
      </c>
      <c r="B85" s="139"/>
      <c r="C85" s="140" t="s">
        <v>202</v>
      </c>
      <c r="D85" s="141">
        <f>D31</f>
        <v>1213.74</v>
      </c>
    </row>
    <row r="86" ht="16.5" spans="1:4">
      <c r="A86" s="139"/>
      <c r="B86" s="139"/>
      <c r="C86" s="142" t="s">
        <v>212</v>
      </c>
      <c r="D86" s="141">
        <f>D73</f>
        <v>1245.94</v>
      </c>
    </row>
    <row r="87" ht="16.5" spans="1:4">
      <c r="A87" s="139"/>
      <c r="B87" s="139"/>
      <c r="C87" s="140" t="s">
        <v>213</v>
      </c>
      <c r="D87" s="141">
        <f>D83</f>
        <v>73.33</v>
      </c>
    </row>
    <row r="88" ht="16.5" spans="1:4">
      <c r="A88" s="139"/>
      <c r="B88" s="139"/>
      <c r="C88" s="142" t="s">
        <v>204</v>
      </c>
      <c r="D88" s="143">
        <f>TRUNC((SUM(D85:D87)),2)</f>
        <v>2533.01</v>
      </c>
    </row>
    <row r="89" ht="15.75" spans="1:4">
      <c r="A89" s="128"/>
      <c r="D89" s="135"/>
    </row>
    <row r="90" spans="1:4">
      <c r="A90" s="156" t="s">
        <v>127</v>
      </c>
      <c r="B90" s="156"/>
      <c r="C90" s="156"/>
      <c r="D90" s="156"/>
    </row>
    <row r="91" spans="1:4">
      <c r="A91" s="126" t="s">
        <v>128</v>
      </c>
      <c r="B91" s="126"/>
      <c r="C91" s="126"/>
      <c r="D91" s="126"/>
    </row>
    <row r="92" spans="1:4">
      <c r="A92" s="128" t="s">
        <v>129</v>
      </c>
      <c r="B92" s="133" t="s">
        <v>130</v>
      </c>
      <c r="C92" s="128" t="s">
        <v>38</v>
      </c>
      <c r="D92" s="128" t="s">
        <v>19</v>
      </c>
    </row>
    <row r="93" spans="1:4">
      <c r="A93" s="128" t="s">
        <v>42</v>
      </c>
      <c r="B93" t="s">
        <v>214</v>
      </c>
      <c r="C93" s="151">
        <f>(((1+1/3)/12)/12)+((1/12)/12)</f>
        <v>0.0162037037037037</v>
      </c>
      <c r="D93" s="135">
        <f>TRUNC(($D$88*C93),2)</f>
        <v>41.04</v>
      </c>
    </row>
    <row r="94" spans="1:4">
      <c r="A94" s="128" t="s">
        <v>45</v>
      </c>
      <c r="B94" t="s">
        <v>133</v>
      </c>
      <c r="C94" s="145">
        <f>((5/30)/12)</f>
        <v>0.0138888888888889</v>
      </c>
      <c r="D94" s="149">
        <f t="shared" ref="D93:D97" si="1">TRUNC(($D$88*C94),2)</f>
        <v>35.18</v>
      </c>
    </row>
    <row r="95" spans="1:4">
      <c r="A95" s="128" t="s">
        <v>48</v>
      </c>
      <c r="B95" t="s">
        <v>134</v>
      </c>
      <c r="C95" s="145">
        <f>((5/30)/12)*0.02</f>
        <v>0.000277777777777778</v>
      </c>
      <c r="D95" s="149">
        <f t="shared" si="1"/>
        <v>0.7</v>
      </c>
    </row>
    <row r="96" ht="30" spans="1:4">
      <c r="A96" s="147" t="s">
        <v>50</v>
      </c>
      <c r="B96" s="152" t="s">
        <v>135</v>
      </c>
      <c r="C96" s="153">
        <f>((15/30)/12)*0.08</f>
        <v>0.00333333333333333</v>
      </c>
      <c r="D96" s="149">
        <f t="shared" si="1"/>
        <v>8.44</v>
      </c>
    </row>
    <row r="97" spans="1:4">
      <c r="A97" s="128" t="s">
        <v>53</v>
      </c>
      <c r="B97" t="s">
        <v>136</v>
      </c>
      <c r="C97" s="145">
        <f>((1+1/3)/12)*0.03*((4/12))</f>
        <v>0.00111111111111111</v>
      </c>
      <c r="D97" s="149">
        <f t="shared" si="1"/>
        <v>2.81</v>
      </c>
    </row>
    <row r="98" ht="30" spans="1:4">
      <c r="A98" s="128" t="s">
        <v>55</v>
      </c>
      <c r="B98" s="152" t="s">
        <v>215</v>
      </c>
      <c r="C98" s="157">
        <v>0</v>
      </c>
      <c r="D98" s="149">
        <f>TRUNC($D$88*C98)</f>
        <v>0</v>
      </c>
    </row>
    <row r="99" spans="1:4">
      <c r="A99" s="128" t="s">
        <v>58</v>
      </c>
      <c r="C99" s="151">
        <f>SUM(C93:C98)</f>
        <v>0.0348148148148148</v>
      </c>
      <c r="D99" s="135">
        <f>TRUNC((SUM(D93:D98)),2)</f>
        <v>88.17</v>
      </c>
    </row>
    <row r="100" spans="1:4">
      <c r="A100" s="128"/>
      <c r="C100" s="128"/>
      <c r="D100" s="135"/>
    </row>
    <row r="101" spans="1:4">
      <c r="A101" s="126" t="s">
        <v>144</v>
      </c>
      <c r="B101" s="126"/>
      <c r="C101" s="126"/>
      <c r="D101" s="126"/>
    </row>
    <row r="102" spans="1:4">
      <c r="A102" s="128" t="s">
        <v>145</v>
      </c>
      <c r="B102" s="133" t="s">
        <v>146</v>
      </c>
      <c r="C102" s="128" t="s">
        <v>18</v>
      </c>
      <c r="D102" s="128" t="s">
        <v>19</v>
      </c>
    </row>
    <row r="103" ht="90" spans="1:4">
      <c r="A103" s="147" t="s">
        <v>42</v>
      </c>
      <c r="B103" s="158" t="s">
        <v>147</v>
      </c>
      <c r="C103" s="159" t="s">
        <v>216</v>
      </c>
      <c r="D103" s="187" t="s">
        <v>217</v>
      </c>
    </row>
    <row r="104" spans="1:4">
      <c r="A104" s="128" t="s">
        <v>58</v>
      </c>
      <c r="C104" s="161"/>
      <c r="D104" s="188" t="str">
        <f>D103</f>
        <v>*=TRUNCAR(($D$86/220)*(1*(365/12))/2)</v>
      </c>
    </row>
    <row r="106" spans="1:4">
      <c r="A106" s="126" t="s">
        <v>148</v>
      </c>
      <c r="B106" s="126"/>
      <c r="C106" s="126"/>
      <c r="D106" s="126"/>
    </row>
    <row r="107" spans="1:4">
      <c r="A107" s="128" t="s">
        <v>149</v>
      </c>
      <c r="B107" s="133" t="s">
        <v>150</v>
      </c>
      <c r="C107" s="128" t="s">
        <v>18</v>
      </c>
      <c r="D107" s="128" t="s">
        <v>19</v>
      </c>
    </row>
    <row r="108" spans="1:4">
      <c r="A108" s="128" t="s">
        <v>129</v>
      </c>
      <c r="B108" t="s">
        <v>130</v>
      </c>
      <c r="D108" s="130">
        <f>D99</f>
        <v>88.17</v>
      </c>
    </row>
    <row r="109" spans="1:4">
      <c r="A109" s="128" t="s">
        <v>145</v>
      </c>
      <c r="B109" t="s">
        <v>151</v>
      </c>
      <c r="C109" s="133"/>
      <c r="D109" s="163" t="str">
        <f>Submódulo4.260_42[[#Totals],[Valor]]</f>
        <v>*=TRUNCAR(($D$86/220)*(1*(365/12))/2)</v>
      </c>
    </row>
    <row r="110" ht="60" spans="1:4">
      <c r="A110" s="147" t="s">
        <v>58</v>
      </c>
      <c r="B110" s="148"/>
      <c r="C110" s="159" t="s">
        <v>218</v>
      </c>
      <c r="D110" s="164">
        <f>TRUNC((SUM(D108:D109)),2)</f>
        <v>88.17</v>
      </c>
    </row>
    <row r="112" spans="1:4">
      <c r="A112" s="110" t="s">
        <v>152</v>
      </c>
      <c r="B112" s="110"/>
      <c r="C112" s="110"/>
      <c r="D112" s="110"/>
    </row>
    <row r="113" spans="1:4">
      <c r="A113" s="128" t="s">
        <v>153</v>
      </c>
      <c r="B113" s="133" t="s">
        <v>154</v>
      </c>
      <c r="C113" s="128" t="s">
        <v>18</v>
      </c>
      <c r="D113" s="128" t="s">
        <v>19</v>
      </c>
    </row>
    <row r="114" spans="1:4">
      <c r="A114" s="128" t="s">
        <v>42</v>
      </c>
      <c r="B114" t="s">
        <v>219</v>
      </c>
      <c r="D114" s="165">
        <f>Uniformes!G41</f>
        <v>75.51</v>
      </c>
    </row>
    <row r="115" spans="1:4">
      <c r="A115" s="128" t="s">
        <v>45</v>
      </c>
      <c r="B115" t="s">
        <v>220</v>
      </c>
      <c r="D115" s="165">
        <v>0</v>
      </c>
    </row>
    <row r="116" spans="1:4">
      <c r="A116" s="128" t="s">
        <v>48</v>
      </c>
      <c r="B116" t="s">
        <v>156</v>
      </c>
      <c r="D116" s="165">
        <v>0</v>
      </c>
    </row>
    <row r="117" spans="1:4">
      <c r="A117" s="128" t="s">
        <v>50</v>
      </c>
      <c r="B117" t="s">
        <v>157</v>
      </c>
      <c r="D117" s="165">
        <v>0</v>
      </c>
    </row>
    <row r="118" spans="1:4">
      <c r="A118" s="128" t="s">
        <v>53</v>
      </c>
      <c r="B118" t="s">
        <v>221</v>
      </c>
      <c r="D118" s="165">
        <f>H116</f>
        <v>0</v>
      </c>
    </row>
    <row r="119" spans="1:4">
      <c r="A119" s="128" t="s">
        <v>58</v>
      </c>
      <c r="D119" s="166">
        <f>TRUNC(SUM(D114:D118),2)</f>
        <v>75.51</v>
      </c>
    </row>
    <row r="120" ht="15.75"/>
    <row r="121" ht="16.5" spans="1:4">
      <c r="A121" s="139" t="s">
        <v>222</v>
      </c>
      <c r="B121" s="139"/>
      <c r="C121" s="140" t="s">
        <v>202</v>
      </c>
      <c r="D121" s="141">
        <f>D31</f>
        <v>1213.74</v>
      </c>
    </row>
    <row r="122" ht="16.5" spans="1:4">
      <c r="A122" s="139"/>
      <c r="B122" s="139"/>
      <c r="C122" s="142" t="s">
        <v>212</v>
      </c>
      <c r="D122" s="141">
        <f>D73</f>
        <v>1245.94</v>
      </c>
    </row>
    <row r="123" ht="16.5" spans="1:4">
      <c r="A123" s="139"/>
      <c r="B123" s="139"/>
      <c r="C123" s="140" t="s">
        <v>213</v>
      </c>
      <c r="D123" s="141">
        <f>D83</f>
        <v>73.33</v>
      </c>
    </row>
    <row r="124" ht="16.5" spans="1:4">
      <c r="A124" s="139"/>
      <c r="B124" s="139"/>
      <c r="C124" s="142" t="s">
        <v>223</v>
      </c>
      <c r="D124" s="141">
        <f>D110</f>
        <v>88.17</v>
      </c>
    </row>
    <row r="125" ht="16.5" spans="1:4">
      <c r="A125" s="139"/>
      <c r="B125" s="139"/>
      <c r="C125" s="140" t="s">
        <v>224</v>
      </c>
      <c r="D125" s="141">
        <f>D119</f>
        <v>75.51</v>
      </c>
    </row>
    <row r="126" ht="16.5" spans="1:4">
      <c r="A126" s="139"/>
      <c r="B126" s="139"/>
      <c r="C126" s="142" t="s">
        <v>204</v>
      </c>
      <c r="D126" s="143">
        <f>TRUNC((SUM(D121:D125)),2)</f>
        <v>2696.69</v>
      </c>
    </row>
    <row r="127" ht="15.75"/>
    <row r="128" ht="15.75" spans="1:7">
      <c r="A128" s="110" t="s">
        <v>164</v>
      </c>
      <c r="B128" s="110"/>
      <c r="C128" s="110"/>
      <c r="D128" s="110"/>
      <c r="F128" s="167" t="s">
        <v>225</v>
      </c>
      <c r="G128" s="167"/>
    </row>
    <row r="129" ht="15.75" spans="1:7">
      <c r="A129" s="128" t="s">
        <v>165</v>
      </c>
      <c r="B129" t="s">
        <v>166</v>
      </c>
      <c r="C129" s="128" t="s">
        <v>38</v>
      </c>
      <c r="D129" s="128" t="s">
        <v>19</v>
      </c>
      <c r="F129" s="169" t="s">
        <v>226</v>
      </c>
      <c r="G129" s="153">
        <f>C132</f>
        <v>0.0865</v>
      </c>
    </row>
    <row r="130" ht="15.75" spans="1:7">
      <c r="A130" s="128" t="s">
        <v>42</v>
      </c>
      <c r="B130" t="s">
        <v>167</v>
      </c>
      <c r="C130" s="168">
        <v>0.04</v>
      </c>
      <c r="D130" s="165">
        <f>TRUNC(($D$126*C130),2)</f>
        <v>107.86</v>
      </c>
      <c r="F130" s="170" t="s">
        <v>227</v>
      </c>
      <c r="G130" s="189">
        <f>TRUNC(SUM(D126,D130,D131),2)</f>
        <v>2944.77</v>
      </c>
    </row>
    <row r="131" ht="15.75" spans="1:7">
      <c r="A131" s="128" t="s">
        <v>45</v>
      </c>
      <c r="B131" t="s">
        <v>59</v>
      </c>
      <c r="C131" s="168">
        <v>0.05</v>
      </c>
      <c r="D131" s="165">
        <f>TRUNC((C131*(D126+D130)),2)</f>
        <v>140.22</v>
      </c>
      <c r="F131" s="169" t="s">
        <v>228</v>
      </c>
      <c r="G131" s="172">
        <f>(100-8.65)/100</f>
        <v>0.9135</v>
      </c>
    </row>
    <row r="132" ht="15.75" spans="1:7">
      <c r="A132" s="128" t="s">
        <v>48</v>
      </c>
      <c r="B132" t="s">
        <v>168</v>
      </c>
      <c r="C132" s="145">
        <f>SUM(C133:C135)</f>
        <v>0.0865</v>
      </c>
      <c r="D132" s="130">
        <f>TRUNC((SUM(D133:D135)),2)</f>
        <v>278.83</v>
      </c>
      <c r="F132" s="170" t="s">
        <v>225</v>
      </c>
      <c r="G132" s="189">
        <f>TRUNC((G130/G131),2)</f>
        <v>3223.61</v>
      </c>
    </row>
    <row r="133" ht="15.75" spans="1:4">
      <c r="A133" s="128"/>
      <c r="B133" t="s">
        <v>229</v>
      </c>
      <c r="C133" s="145">
        <v>0.0065</v>
      </c>
      <c r="D133" s="130">
        <f t="shared" ref="D133:D135" si="2">TRUNC(($G$132*C133),2)</f>
        <v>20.95</v>
      </c>
    </row>
    <row r="134" spans="1:4">
      <c r="A134" s="128"/>
      <c r="B134" t="s">
        <v>230</v>
      </c>
      <c r="C134" s="145">
        <v>0.03</v>
      </c>
      <c r="D134" s="130">
        <f t="shared" si="2"/>
        <v>96.7</v>
      </c>
    </row>
    <row r="135" spans="1:4">
      <c r="A135" s="128"/>
      <c r="B135" t="s">
        <v>231</v>
      </c>
      <c r="C135" s="145">
        <v>0.05</v>
      </c>
      <c r="D135" s="130">
        <f t="shared" si="2"/>
        <v>161.18</v>
      </c>
    </row>
    <row r="136" spans="1:4">
      <c r="A136" s="128" t="s">
        <v>58</v>
      </c>
      <c r="C136" s="173"/>
      <c r="D136" s="135">
        <f>TRUNC(SUM(D130:D132),2)</f>
        <v>526.91</v>
      </c>
    </row>
    <row r="137" spans="1:4">
      <c r="A137" s="128"/>
      <c r="C137" s="173"/>
      <c r="D137" s="135"/>
    </row>
    <row r="139" spans="1:4">
      <c r="A139" s="110" t="s">
        <v>172</v>
      </c>
      <c r="B139" s="110"/>
      <c r="C139" s="110"/>
      <c r="D139" s="110"/>
    </row>
    <row r="140" spans="1:4">
      <c r="A140" s="128" t="s">
        <v>16</v>
      </c>
      <c r="B140" s="128" t="s">
        <v>173</v>
      </c>
      <c r="C140" s="128" t="s">
        <v>102</v>
      </c>
      <c r="D140" s="128" t="s">
        <v>19</v>
      </c>
    </row>
    <row r="141" spans="1:4">
      <c r="A141" s="128" t="s">
        <v>42</v>
      </c>
      <c r="B141" t="s">
        <v>36</v>
      </c>
      <c r="D141" s="135">
        <f>D31</f>
        <v>1213.74</v>
      </c>
    </row>
    <row r="142" spans="1:4">
      <c r="A142" s="128" t="s">
        <v>45</v>
      </c>
      <c r="B142" t="s">
        <v>61</v>
      </c>
      <c r="D142" s="135">
        <f>D73</f>
        <v>1245.94</v>
      </c>
    </row>
    <row r="143" spans="1:4">
      <c r="A143" s="128" t="s">
        <v>48</v>
      </c>
      <c r="B143" t="s">
        <v>108</v>
      </c>
      <c r="D143" s="135">
        <f>D83</f>
        <v>73.33</v>
      </c>
    </row>
    <row r="144" spans="1:4">
      <c r="A144" s="128" t="s">
        <v>50</v>
      </c>
      <c r="B144" t="s">
        <v>174</v>
      </c>
      <c r="D144" s="135">
        <f>D110</f>
        <v>88.17</v>
      </c>
    </row>
    <row r="145" spans="1:4">
      <c r="A145" s="128" t="s">
        <v>53</v>
      </c>
      <c r="B145" t="s">
        <v>152</v>
      </c>
      <c r="D145" s="135">
        <f>D119</f>
        <v>75.51</v>
      </c>
    </row>
    <row r="146" spans="2:4">
      <c r="B146" s="174" t="s">
        <v>232</v>
      </c>
      <c r="D146" s="135">
        <f>TRUNC(SUM(D141:D145),2)</f>
        <v>2696.69</v>
      </c>
    </row>
    <row r="147" spans="1:4">
      <c r="A147" s="128" t="s">
        <v>55</v>
      </c>
      <c r="B147" t="s">
        <v>164</v>
      </c>
      <c r="D147" s="135">
        <f>D136</f>
        <v>526.91</v>
      </c>
    </row>
    <row r="148" spans="1:4">
      <c r="A148" s="175"/>
      <c r="B148" s="176" t="s">
        <v>233</v>
      </c>
      <c r="C148" s="175"/>
      <c r="D148" s="177">
        <f>TRUNC((SUM(D141:D145)+D147),2)</f>
        <v>3223.6</v>
      </c>
    </row>
  </sheetData>
  <mergeCells count="33">
    <mergeCell ref="A2:D2"/>
    <mergeCell ref="A3:D3"/>
    <mergeCell ref="A6:D6"/>
    <mergeCell ref="C7:D7"/>
    <mergeCell ref="C8:D8"/>
    <mergeCell ref="C9:D9"/>
    <mergeCell ref="C10:D10"/>
    <mergeCell ref="A11:D11"/>
    <mergeCell ref="A12:B12"/>
    <mergeCell ref="A13:B13"/>
    <mergeCell ref="A14:B14"/>
    <mergeCell ref="A15:D15"/>
    <mergeCell ref="F15:G15"/>
    <mergeCell ref="F22:G22"/>
    <mergeCell ref="A23:D23"/>
    <mergeCell ref="F31:G31"/>
    <mergeCell ref="A33:D33"/>
    <mergeCell ref="A35:D35"/>
    <mergeCell ref="A45:D45"/>
    <mergeCell ref="A57:D57"/>
    <mergeCell ref="A68:D68"/>
    <mergeCell ref="A75:D75"/>
    <mergeCell ref="A90:D90"/>
    <mergeCell ref="A91:D91"/>
    <mergeCell ref="A101:D101"/>
    <mergeCell ref="A106:D106"/>
    <mergeCell ref="A112:D112"/>
    <mergeCell ref="A128:D128"/>
    <mergeCell ref="F128:G128"/>
    <mergeCell ref="A139:D139"/>
    <mergeCell ref="A41:B43"/>
    <mergeCell ref="A85:B88"/>
    <mergeCell ref="A121:B126"/>
  </mergeCells>
  <pageMargins left="0.75" right="0.75" top="1" bottom="1" header="0.5" footer="0.5"/>
  <pageSetup paperSize="9" orientation="landscape"/>
  <headerFooter/>
  <tableParts count="13">
    <tablePart r:id="rId1"/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</tablePart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G149"/>
  <sheetViews>
    <sheetView workbookViewId="0">
      <selection activeCell="D149" sqref="A1:D149"/>
    </sheetView>
  </sheetViews>
  <sheetFormatPr defaultColWidth="9.14285714285714" defaultRowHeight="15" outlineLevelCol="6"/>
  <cols>
    <col min="1" max="1" width="10.8857142857143" customWidth="1"/>
    <col min="2" max="2" width="46.1428571428571" customWidth="1"/>
    <col min="3" max="3" width="24.8857142857143" customWidth="1"/>
    <col min="4" max="4" width="37.4285714285714" customWidth="1"/>
    <col min="6" max="6" width="22.8571428571429" customWidth="1"/>
    <col min="7" max="7" width="13.4285714285714" customWidth="1"/>
    <col min="8" max="8" width="11" customWidth="1"/>
    <col min="9" max="9" width="11.4285714285714" customWidth="1"/>
  </cols>
  <sheetData>
    <row r="2" ht="19.5" spans="1:4">
      <c r="A2" s="103" t="s">
        <v>177</v>
      </c>
      <c r="B2" s="103"/>
      <c r="C2" s="103"/>
      <c r="D2" s="103"/>
    </row>
    <row r="3" ht="15.75" spans="1:4">
      <c r="A3" s="104" t="s">
        <v>178</v>
      </c>
      <c r="B3" s="104"/>
      <c r="C3" s="104"/>
      <c r="D3" s="104"/>
    </row>
    <row r="4" spans="1:4">
      <c r="A4" s="105" t="s">
        <v>179</v>
      </c>
      <c r="B4" s="106" t="s">
        <v>180</v>
      </c>
      <c r="C4" s="107"/>
      <c r="D4" s="107"/>
    </row>
    <row r="5" spans="1:4">
      <c r="A5" s="108"/>
      <c r="B5" s="109"/>
      <c r="C5" s="109"/>
      <c r="D5" s="109"/>
    </row>
    <row r="6" ht="15.75" spans="1:4">
      <c r="A6" s="110" t="s">
        <v>181</v>
      </c>
      <c r="B6" s="110"/>
      <c r="C6" s="110"/>
      <c r="D6" s="110"/>
    </row>
    <row r="7" ht="15.75" spans="1:4">
      <c r="A7" s="111" t="s">
        <v>42</v>
      </c>
      <c r="B7" s="112" t="s">
        <v>182</v>
      </c>
      <c r="C7" s="113" t="s">
        <v>183</v>
      </c>
      <c r="D7" s="113"/>
    </row>
    <row r="8" spans="1:4">
      <c r="A8" s="114" t="s">
        <v>45</v>
      </c>
      <c r="B8" s="115" t="s">
        <v>184</v>
      </c>
      <c r="C8" s="116" t="s">
        <v>185</v>
      </c>
      <c r="D8" s="116"/>
    </row>
    <row r="9" spans="1:4">
      <c r="A9" s="117" t="s">
        <v>48</v>
      </c>
      <c r="B9" s="118" t="s">
        <v>186</v>
      </c>
      <c r="C9" s="116" t="s">
        <v>187</v>
      </c>
      <c r="D9" s="116"/>
    </row>
    <row r="10" spans="1:4">
      <c r="A10" s="114" t="s">
        <v>53</v>
      </c>
      <c r="B10" s="115" t="s">
        <v>188</v>
      </c>
      <c r="C10" s="116" t="s">
        <v>189</v>
      </c>
      <c r="D10" s="116"/>
    </row>
    <row r="11" ht="15.75" spans="1:4">
      <c r="A11" s="119" t="s">
        <v>190</v>
      </c>
      <c r="B11" s="119"/>
      <c r="C11" s="119"/>
      <c r="D11" s="119"/>
    </row>
    <row r="12" ht="16.5" spans="1:4">
      <c r="A12" s="120" t="s">
        <v>191</v>
      </c>
      <c r="B12" s="120"/>
      <c r="C12" s="119" t="s">
        <v>192</v>
      </c>
      <c r="D12" s="121" t="s">
        <v>193</v>
      </c>
    </row>
    <row r="13" ht="15.75" spans="1:4">
      <c r="A13" s="122" t="s">
        <v>243</v>
      </c>
      <c r="B13" s="122"/>
      <c r="C13" s="116" t="s">
        <v>244</v>
      </c>
      <c r="D13" s="123">
        <f>RESUMO!D6</f>
        <v>2</v>
      </c>
    </row>
    <row r="14" spans="1:4">
      <c r="A14" s="124"/>
      <c r="B14" s="124"/>
      <c r="C14" s="116"/>
      <c r="D14" s="125"/>
    </row>
    <row r="15" ht="15.75" spans="1:7">
      <c r="A15" s="119" t="s">
        <v>14</v>
      </c>
      <c r="B15" s="119"/>
      <c r="C15" s="119"/>
      <c r="D15" s="119"/>
      <c r="F15" s="126"/>
      <c r="G15" s="126"/>
    </row>
    <row r="16" ht="15.75" spans="1:4">
      <c r="A16" s="128" t="s">
        <v>16</v>
      </c>
      <c r="B16" t="s">
        <v>17</v>
      </c>
      <c r="C16" s="128" t="s">
        <v>18</v>
      </c>
      <c r="D16" s="128" t="s">
        <v>19</v>
      </c>
    </row>
    <row r="17" spans="1:6">
      <c r="A17" s="128">
        <v>1</v>
      </c>
      <c r="B17" t="s">
        <v>20</v>
      </c>
      <c r="C17" s="129" t="s">
        <v>102</v>
      </c>
      <c r="D17" s="129" t="str">
        <f>A13</f>
        <v>Agente de Portaria</v>
      </c>
      <c r="F17" s="178"/>
    </row>
    <row r="18" spans="1:4">
      <c r="A18" s="128">
        <v>2</v>
      </c>
      <c r="B18" t="s">
        <v>23</v>
      </c>
      <c r="C18" s="129" t="s">
        <v>196</v>
      </c>
      <c r="D18" s="129" t="s">
        <v>245</v>
      </c>
    </row>
    <row r="19" spans="1:4">
      <c r="A19" s="128">
        <v>3</v>
      </c>
      <c r="B19" t="s">
        <v>26</v>
      </c>
      <c r="C19" s="129" t="str">
        <f>C9</f>
        <v>CCT PB000517/2021</v>
      </c>
      <c r="D19" s="130">
        <v>1236.84</v>
      </c>
    </row>
    <row r="20" spans="1:4">
      <c r="A20" s="128">
        <v>4</v>
      </c>
      <c r="B20" t="s">
        <v>29</v>
      </c>
      <c r="C20" s="129" t="str">
        <f>C9</f>
        <v>CCT PB000517/2021</v>
      </c>
      <c r="D20" s="131" t="s">
        <v>198</v>
      </c>
    </row>
    <row r="21" spans="1:4">
      <c r="A21" s="128">
        <v>5</v>
      </c>
      <c r="B21" t="s">
        <v>33</v>
      </c>
      <c r="C21" s="129" t="str">
        <f>C9</f>
        <v>CCT PB000517/2021</v>
      </c>
      <c r="D21" s="132" t="s">
        <v>199</v>
      </c>
    </row>
    <row r="22" spans="6:7">
      <c r="F22" s="126"/>
      <c r="G22" s="126"/>
    </row>
    <row r="23" spans="1:4">
      <c r="A23" s="110" t="s">
        <v>36</v>
      </c>
      <c r="B23" s="110"/>
      <c r="C23" s="110"/>
      <c r="D23" s="110"/>
    </row>
    <row r="24" spans="1:7">
      <c r="A24" s="128" t="s">
        <v>39</v>
      </c>
      <c r="B24" s="133" t="s">
        <v>40</v>
      </c>
      <c r="C24" s="128" t="s">
        <v>18</v>
      </c>
      <c r="D24" s="128" t="s">
        <v>19</v>
      </c>
      <c r="G24" s="179"/>
    </row>
    <row r="25" spans="1:7">
      <c r="A25" s="128" t="s">
        <v>42</v>
      </c>
      <c r="B25" t="s">
        <v>43</v>
      </c>
      <c r="C25" s="131" t="s">
        <v>246</v>
      </c>
      <c r="D25" s="130">
        <f>D19</f>
        <v>1236.84</v>
      </c>
      <c r="G25" s="179"/>
    </row>
    <row r="26" spans="1:7">
      <c r="A26" s="128" t="s">
        <v>45</v>
      </c>
      <c r="B26" t="s">
        <v>46</v>
      </c>
      <c r="C26" s="131"/>
      <c r="D26" s="130">
        <v>0</v>
      </c>
      <c r="G26" s="179"/>
    </row>
    <row r="27" spans="1:4">
      <c r="A27" s="128" t="s">
        <v>48</v>
      </c>
      <c r="B27" t="s">
        <v>49</v>
      </c>
      <c r="C27" s="131"/>
      <c r="D27" s="130">
        <v>0</v>
      </c>
    </row>
    <row r="28" spans="1:4">
      <c r="A28" s="128" t="s">
        <v>50</v>
      </c>
      <c r="B28" t="s">
        <v>51</v>
      </c>
      <c r="C28" s="131"/>
      <c r="D28" s="130">
        <v>0</v>
      </c>
    </row>
    <row r="29" spans="1:4">
      <c r="A29" s="128" t="s">
        <v>53</v>
      </c>
      <c r="B29" t="s">
        <v>54</v>
      </c>
      <c r="C29" s="131"/>
      <c r="D29" s="130">
        <v>0</v>
      </c>
    </row>
    <row r="30" spans="1:4">
      <c r="A30" s="128" t="s">
        <v>55</v>
      </c>
      <c r="B30" t="s">
        <v>56</v>
      </c>
      <c r="C30" s="131"/>
      <c r="D30" s="130">
        <v>0</v>
      </c>
    </row>
    <row r="31" spans="1:7">
      <c r="A31" s="128" t="s">
        <v>58</v>
      </c>
      <c r="C31" s="128"/>
      <c r="D31" s="135">
        <f>TRUNC((SUM(D25:D30)),2)</f>
        <v>1236.84</v>
      </c>
      <c r="F31" s="126"/>
      <c r="G31" s="126"/>
    </row>
    <row r="33" spans="1:7">
      <c r="A33" s="136" t="s">
        <v>61</v>
      </c>
      <c r="B33" s="136"/>
      <c r="C33" s="136"/>
      <c r="D33" s="136"/>
      <c r="G33" s="179"/>
    </row>
    <row r="35" spans="1:4">
      <c r="A35" s="126" t="s">
        <v>63</v>
      </c>
      <c r="B35" s="126"/>
      <c r="C35" s="126"/>
      <c r="D35" s="126"/>
    </row>
    <row r="36" spans="1:4">
      <c r="A36" s="128" t="s">
        <v>65</v>
      </c>
      <c r="B36" s="133" t="s">
        <v>66</v>
      </c>
      <c r="C36" s="128" t="s">
        <v>38</v>
      </c>
      <c r="D36" s="128" t="s">
        <v>19</v>
      </c>
    </row>
    <row r="37" spans="1:7">
      <c r="A37" s="128" t="s">
        <v>42</v>
      </c>
      <c r="B37" t="s">
        <v>67</v>
      </c>
      <c r="C37" s="137">
        <f>(1/12)</f>
        <v>0.0833333333333333</v>
      </c>
      <c r="D37" s="135">
        <f>TRUNC($D$31*C37,2)</f>
        <v>103.07</v>
      </c>
      <c r="F37" s="138"/>
      <c r="G37" s="138"/>
    </row>
    <row r="38" spans="1:7">
      <c r="A38" s="128" t="s">
        <v>45</v>
      </c>
      <c r="B38" t="s">
        <v>68</v>
      </c>
      <c r="C38" s="137">
        <f>(((1+1/3)/12))</f>
        <v>0.111111111111111</v>
      </c>
      <c r="D38" s="135">
        <f>TRUNC($D$31*C38,2)</f>
        <v>137.42</v>
      </c>
      <c r="F38" s="138"/>
      <c r="G38" s="138"/>
    </row>
    <row r="39" spans="1:7">
      <c r="A39" s="128" t="s">
        <v>58</v>
      </c>
      <c r="D39" s="135">
        <f>TRUNC((SUM(D37:D38)),2)</f>
        <v>240.49</v>
      </c>
      <c r="F39" s="138"/>
      <c r="G39" s="138"/>
    </row>
    <row r="40" ht="15.75" spans="4:7">
      <c r="D40" s="135"/>
      <c r="F40" s="138"/>
      <c r="G40" s="138"/>
    </row>
    <row r="41" ht="16.5" spans="1:7">
      <c r="A41" s="139" t="s">
        <v>201</v>
      </c>
      <c r="B41" s="139"/>
      <c r="C41" s="140" t="s">
        <v>202</v>
      </c>
      <c r="D41" s="141">
        <f>D31</f>
        <v>1236.84</v>
      </c>
      <c r="F41" s="138"/>
      <c r="G41" s="138"/>
    </row>
    <row r="42" ht="16.5" spans="1:7">
      <c r="A42" s="139"/>
      <c r="B42" s="139"/>
      <c r="C42" s="142" t="s">
        <v>203</v>
      </c>
      <c r="D42" s="141">
        <f>D39</f>
        <v>240.49</v>
      </c>
      <c r="F42" s="138"/>
      <c r="G42" s="138"/>
    </row>
    <row r="43" ht="16.5" spans="1:7">
      <c r="A43" s="139"/>
      <c r="B43" s="139"/>
      <c r="C43" s="140" t="s">
        <v>204</v>
      </c>
      <c r="D43" s="143">
        <f>TRUNC(SUM(D41:D42),2)</f>
        <v>1477.33</v>
      </c>
      <c r="F43" s="138"/>
      <c r="G43" s="138"/>
    </row>
    <row r="44" ht="15.75" spans="1:7">
      <c r="A44" s="128"/>
      <c r="C44" s="144"/>
      <c r="D44" s="135"/>
      <c r="F44" s="138"/>
      <c r="G44" s="138"/>
    </row>
    <row r="45" spans="1:4">
      <c r="A45" s="126" t="s">
        <v>77</v>
      </c>
      <c r="B45" s="126"/>
      <c r="C45" s="126"/>
      <c r="D45" s="126"/>
    </row>
    <row r="46" spans="1:4">
      <c r="A46" s="128" t="s">
        <v>78</v>
      </c>
      <c r="B46" s="133" t="s">
        <v>79</v>
      </c>
      <c r="C46" s="128" t="s">
        <v>38</v>
      </c>
      <c r="D46" s="128" t="s">
        <v>80</v>
      </c>
    </row>
    <row r="47" spans="1:4">
      <c r="A47" s="128" t="s">
        <v>42</v>
      </c>
      <c r="B47" t="s">
        <v>81</v>
      </c>
      <c r="C47" s="137">
        <v>0.2</v>
      </c>
      <c r="D47" s="180">
        <f t="shared" ref="D47:D54" si="0">TRUNC(($D$43*C47),2)</f>
        <v>295.46</v>
      </c>
    </row>
    <row r="48" spans="1:4">
      <c r="A48" s="128" t="s">
        <v>45</v>
      </c>
      <c r="B48" t="s">
        <v>82</v>
      </c>
      <c r="C48" s="137">
        <v>0.025</v>
      </c>
      <c r="D48" s="180">
        <f t="shared" si="0"/>
        <v>36.93</v>
      </c>
    </row>
    <row r="49" spans="1:4">
      <c r="A49" s="128" t="s">
        <v>48</v>
      </c>
      <c r="B49" t="s">
        <v>205</v>
      </c>
      <c r="C49" s="145">
        <v>0.06</v>
      </c>
      <c r="D49" s="180">
        <f t="shared" si="0"/>
        <v>88.63</v>
      </c>
    </row>
    <row r="50" spans="1:4">
      <c r="A50" s="128" t="s">
        <v>50</v>
      </c>
      <c r="B50" t="s">
        <v>84</v>
      </c>
      <c r="C50" s="137">
        <v>0.015</v>
      </c>
      <c r="D50" s="180">
        <f t="shared" si="0"/>
        <v>22.15</v>
      </c>
    </row>
    <row r="51" spans="1:4">
      <c r="A51" s="128" t="s">
        <v>53</v>
      </c>
      <c r="B51" t="s">
        <v>85</v>
      </c>
      <c r="C51" s="137">
        <v>0.01</v>
      </c>
      <c r="D51" s="180">
        <f t="shared" si="0"/>
        <v>14.77</v>
      </c>
    </row>
    <row r="52" spans="1:4">
      <c r="A52" s="128" t="s">
        <v>55</v>
      </c>
      <c r="B52" t="s">
        <v>86</v>
      </c>
      <c r="C52" s="137">
        <v>0.006</v>
      </c>
      <c r="D52" s="180">
        <f t="shared" si="0"/>
        <v>8.86</v>
      </c>
    </row>
    <row r="53" spans="1:4">
      <c r="A53" s="128" t="s">
        <v>87</v>
      </c>
      <c r="B53" t="s">
        <v>88</v>
      </c>
      <c r="C53" s="137">
        <v>0.002</v>
      </c>
      <c r="D53" s="180">
        <f t="shared" si="0"/>
        <v>2.95</v>
      </c>
    </row>
    <row r="54" spans="1:4">
      <c r="A54" s="128" t="s">
        <v>89</v>
      </c>
      <c r="B54" t="s">
        <v>90</v>
      </c>
      <c r="C54" s="137">
        <v>0.08</v>
      </c>
      <c r="D54" s="180">
        <f t="shared" si="0"/>
        <v>118.18</v>
      </c>
    </row>
    <row r="55" spans="1:4">
      <c r="A55" s="128" t="s">
        <v>58</v>
      </c>
      <c r="C55" s="144">
        <f>SUM(C47:C54)</f>
        <v>0.398</v>
      </c>
      <c r="D55" s="135">
        <f>TRUNC((SUM(D47:D54)),2)</f>
        <v>587.93</v>
      </c>
    </row>
    <row r="56" spans="1:4">
      <c r="A56" s="128"/>
      <c r="C56" s="144"/>
      <c r="D56" s="135"/>
    </row>
    <row r="57" spans="1:4">
      <c r="A57" s="126" t="s">
        <v>95</v>
      </c>
      <c r="B57" s="126"/>
      <c r="C57" s="126"/>
      <c r="D57" s="126"/>
    </row>
    <row r="58" spans="1:4">
      <c r="A58" s="128" t="s">
        <v>96</v>
      </c>
      <c r="B58" s="133" t="s">
        <v>97</v>
      </c>
      <c r="C58" s="128" t="s">
        <v>18</v>
      </c>
      <c r="D58" s="128" t="s">
        <v>19</v>
      </c>
    </row>
    <row r="59" spans="1:4">
      <c r="A59" s="128" t="s">
        <v>42</v>
      </c>
      <c r="B59" t="s">
        <v>98</v>
      </c>
      <c r="C59" s="129"/>
      <c r="D59" s="146">
        <v>0</v>
      </c>
    </row>
    <row r="60" spans="1:4">
      <c r="A60" s="128" t="s">
        <v>45</v>
      </c>
      <c r="B60" t="s">
        <v>99</v>
      </c>
      <c r="C60" s="129" t="str">
        <f>C9</f>
        <v>CCT PB000517/2021</v>
      </c>
      <c r="D60" s="130">
        <f>TRUNC((((460))-(((460))*0.2)),2)</f>
        <v>368</v>
      </c>
    </row>
    <row r="61" spans="1:4">
      <c r="A61" s="128" t="s">
        <v>48</v>
      </c>
      <c r="B61" t="s">
        <v>100</v>
      </c>
      <c r="C61" s="129"/>
      <c r="D61" s="130">
        <v>0</v>
      </c>
    </row>
    <row r="62" spans="1:6">
      <c r="A62" s="147" t="s">
        <v>50</v>
      </c>
      <c r="B62" s="148" t="s">
        <v>206</v>
      </c>
      <c r="C62" s="149"/>
      <c r="D62" s="149">
        <f>TRUNC(((((($D$25+$D$26+$D$28+$D$29)/220)*1.5)*(365/12))/2),2)</f>
        <v>128.25</v>
      </c>
      <c r="F62" s="148"/>
    </row>
    <row r="63" spans="1:4">
      <c r="A63" s="147" t="s">
        <v>53</v>
      </c>
      <c r="B63" s="133" t="s">
        <v>207</v>
      </c>
      <c r="C63" s="129" t="s">
        <v>187</v>
      </c>
      <c r="D63" s="130">
        <v>20</v>
      </c>
    </row>
    <row r="64" spans="1:4">
      <c r="A64" s="147" t="s">
        <v>55</v>
      </c>
      <c r="B64" s="150" t="s">
        <v>208</v>
      </c>
      <c r="C64" s="129" t="s">
        <v>187</v>
      </c>
      <c r="D64" s="130">
        <v>5</v>
      </c>
    </row>
    <row r="65" spans="1:4">
      <c r="A65" s="147" t="s">
        <v>87</v>
      </c>
      <c r="B65" s="150" t="s">
        <v>209</v>
      </c>
      <c r="C65" s="149" t="s">
        <v>187</v>
      </c>
      <c r="D65" s="130">
        <v>40</v>
      </c>
    </row>
    <row r="66" spans="1:4">
      <c r="A66" s="128" t="s">
        <v>58</v>
      </c>
      <c r="D66" s="135">
        <f>TRUNC((SUM(D59:D65)),2)</f>
        <v>561.25</v>
      </c>
    </row>
    <row r="67" spans="1:4">
      <c r="A67" s="128"/>
      <c r="D67" s="135"/>
    </row>
    <row r="68" spans="1:4">
      <c r="A68" s="126" t="s">
        <v>105</v>
      </c>
      <c r="B68" s="126"/>
      <c r="C68" s="126"/>
      <c r="D68" s="126"/>
    </row>
    <row r="69" spans="1:4">
      <c r="A69" s="128" t="s">
        <v>106</v>
      </c>
      <c r="B69" s="133" t="s">
        <v>107</v>
      </c>
      <c r="C69" s="128" t="s">
        <v>18</v>
      </c>
      <c r="D69" s="128" t="s">
        <v>19</v>
      </c>
    </row>
    <row r="70" spans="1:4">
      <c r="A70" s="128" t="s">
        <v>65</v>
      </c>
      <c r="B70" t="s">
        <v>66</v>
      </c>
      <c r="C70" s="128"/>
      <c r="D70" s="135">
        <f>D39</f>
        <v>240.49</v>
      </c>
    </row>
    <row r="71" spans="1:4">
      <c r="A71" s="128" t="s">
        <v>78</v>
      </c>
      <c r="B71" t="s">
        <v>79</v>
      </c>
      <c r="C71" s="128"/>
      <c r="D71" s="135">
        <f>D55</f>
        <v>587.93</v>
      </c>
    </row>
    <row r="72" spans="1:4">
      <c r="A72" s="128" t="s">
        <v>96</v>
      </c>
      <c r="B72" t="s">
        <v>97</v>
      </c>
      <c r="C72" s="128"/>
      <c r="D72" s="135">
        <f>D66</f>
        <v>561.25</v>
      </c>
    </row>
    <row r="73" spans="1:4">
      <c r="A73" s="128" t="s">
        <v>58</v>
      </c>
      <c r="C73" s="128"/>
      <c r="D73" s="135">
        <f>TRUNC((SUM(D70:D72)),2)</f>
        <v>1389.67</v>
      </c>
    </row>
    <row r="75" spans="1:4">
      <c r="A75" s="110" t="s">
        <v>108</v>
      </c>
      <c r="B75" s="110"/>
      <c r="C75" s="110"/>
      <c r="D75" s="110"/>
    </row>
    <row r="76" spans="1:4">
      <c r="A76" s="128" t="s">
        <v>109</v>
      </c>
      <c r="B76" s="133" t="s">
        <v>110</v>
      </c>
      <c r="C76" s="128" t="s">
        <v>38</v>
      </c>
      <c r="D76" s="128" t="s">
        <v>19</v>
      </c>
    </row>
    <row r="77" spans="1:4">
      <c r="A77" s="128" t="s">
        <v>42</v>
      </c>
      <c r="B77" t="s">
        <v>111</v>
      </c>
      <c r="C77" s="145">
        <f>((1/12)*2%)</f>
        <v>0.00166666666666667</v>
      </c>
      <c r="D77" s="130">
        <f>TRUNC(($D$31*C77),2)</f>
        <v>2.06</v>
      </c>
    </row>
    <row r="78" spans="1:4">
      <c r="A78" s="128" t="s">
        <v>45</v>
      </c>
      <c r="B78" t="s">
        <v>112</v>
      </c>
      <c r="C78" s="151">
        <v>0.08</v>
      </c>
      <c r="D78" s="135">
        <f>TRUNC(($D$77*C78),2)</f>
        <v>0.16</v>
      </c>
    </row>
    <row r="79" ht="30" spans="1:4">
      <c r="A79" s="128" t="s">
        <v>48</v>
      </c>
      <c r="B79" s="152" t="s">
        <v>113</v>
      </c>
      <c r="C79" s="153">
        <f>(0.08*0.4*0.02)</f>
        <v>0.00064</v>
      </c>
      <c r="D79" s="149">
        <f>TRUNC(($D$31*C79),2)</f>
        <v>0.79</v>
      </c>
    </row>
    <row r="80" spans="1:4">
      <c r="A80" s="128" t="s">
        <v>50</v>
      </c>
      <c r="B80" t="s">
        <v>114</v>
      </c>
      <c r="C80" s="154">
        <f>(((7/30)/12)*0.98)</f>
        <v>0.0190555555555556</v>
      </c>
      <c r="D80" s="155">
        <f>TRUNC(($D$31*C80),2)</f>
        <v>23.56</v>
      </c>
    </row>
    <row r="81" ht="30" spans="1:4">
      <c r="A81" s="128" t="s">
        <v>53</v>
      </c>
      <c r="B81" s="152" t="s">
        <v>210</v>
      </c>
      <c r="C81" s="153">
        <f>C55</f>
        <v>0.398</v>
      </c>
      <c r="D81" s="149">
        <f>TRUNC(($D$80*C81),2)</f>
        <v>9.37</v>
      </c>
    </row>
    <row r="82" ht="30" spans="1:4">
      <c r="A82" s="128" t="s">
        <v>55</v>
      </c>
      <c r="B82" s="152" t="s">
        <v>115</v>
      </c>
      <c r="C82" s="154">
        <f>(0.08*0.4*0.98)</f>
        <v>0.03136</v>
      </c>
      <c r="D82" s="149">
        <f>TRUNC(($D$31*C82),2)</f>
        <v>38.78</v>
      </c>
    </row>
    <row r="83" spans="1:4">
      <c r="A83" s="128" t="s">
        <v>58</v>
      </c>
      <c r="C83" s="151">
        <f>SUM(C77:C82)</f>
        <v>0.530722222222222</v>
      </c>
      <c r="D83" s="135">
        <f>TRUNC((SUM(D77:D82)),2)</f>
        <v>74.72</v>
      </c>
    </row>
    <row r="84" ht="15.75" spans="1:4">
      <c r="A84" s="128"/>
      <c r="D84" s="135"/>
    </row>
    <row r="85" ht="16.5" spans="1:4">
      <c r="A85" s="139" t="s">
        <v>211</v>
      </c>
      <c r="B85" s="139"/>
      <c r="C85" s="140" t="s">
        <v>202</v>
      </c>
      <c r="D85" s="141">
        <f>D31</f>
        <v>1236.84</v>
      </c>
    </row>
    <row r="86" ht="16.5" spans="1:4">
      <c r="A86" s="139"/>
      <c r="B86" s="139"/>
      <c r="C86" s="142" t="s">
        <v>212</v>
      </c>
      <c r="D86" s="141">
        <f>D73</f>
        <v>1389.67</v>
      </c>
    </row>
    <row r="87" ht="16.5" spans="1:4">
      <c r="A87" s="139"/>
      <c r="B87" s="139"/>
      <c r="C87" s="140" t="s">
        <v>213</v>
      </c>
      <c r="D87" s="141">
        <f>D83</f>
        <v>74.72</v>
      </c>
    </row>
    <row r="88" ht="16.5" spans="1:4">
      <c r="A88" s="139"/>
      <c r="B88" s="139"/>
      <c r="C88" s="142" t="s">
        <v>204</v>
      </c>
      <c r="D88" s="143">
        <f>TRUNC((SUM(D85:D87)),2)</f>
        <v>2701.23</v>
      </c>
    </row>
    <row r="89" ht="15.75" spans="1:4">
      <c r="A89" s="128"/>
      <c r="D89" s="135"/>
    </row>
    <row r="90" spans="1:4">
      <c r="A90" s="156" t="s">
        <v>127</v>
      </c>
      <c r="B90" s="156"/>
      <c r="C90" s="156"/>
      <c r="D90" s="156"/>
    </row>
    <row r="91" spans="1:4">
      <c r="A91" s="126" t="s">
        <v>128</v>
      </c>
      <c r="B91" s="126"/>
      <c r="C91" s="126"/>
      <c r="D91" s="126"/>
    </row>
    <row r="92" spans="1:4">
      <c r="A92" s="128" t="s">
        <v>129</v>
      </c>
      <c r="B92" s="133" t="s">
        <v>130</v>
      </c>
      <c r="C92" s="128" t="s">
        <v>38</v>
      </c>
      <c r="D92" s="128" t="s">
        <v>19</v>
      </c>
    </row>
    <row r="93" spans="1:4">
      <c r="A93" s="128" t="s">
        <v>42</v>
      </c>
      <c r="B93" t="s">
        <v>214</v>
      </c>
      <c r="C93" s="151">
        <f>(((1+1/3)/12)/12)+((1/12)/12)</f>
        <v>0.0162037037037037</v>
      </c>
      <c r="D93" s="135">
        <f>TRUNC(($D$88*C93),2)</f>
        <v>43.76</v>
      </c>
    </row>
    <row r="94" spans="1:4">
      <c r="A94" s="128" t="s">
        <v>45</v>
      </c>
      <c r="B94" t="s">
        <v>133</v>
      </c>
      <c r="C94" s="145">
        <f>((5/30)/12)</f>
        <v>0.0138888888888889</v>
      </c>
      <c r="D94" s="149">
        <f>TRUNC(($D$88*C94),2)</f>
        <v>37.51</v>
      </c>
    </row>
    <row r="95" spans="1:4">
      <c r="A95" s="128" t="s">
        <v>48</v>
      </c>
      <c r="B95" t="s">
        <v>134</v>
      </c>
      <c r="C95" s="145">
        <f>((5/30)/12)*0.02</f>
        <v>0.000277777777777778</v>
      </c>
      <c r="D95" s="149">
        <f>TRUNC(($D$88*C95),2)</f>
        <v>0.75</v>
      </c>
    </row>
    <row r="96" ht="30" spans="1:4">
      <c r="A96" s="147" t="s">
        <v>50</v>
      </c>
      <c r="B96" s="152" t="s">
        <v>135</v>
      </c>
      <c r="C96" s="153">
        <f>((15/30)/12)*0.08</f>
        <v>0.00333333333333333</v>
      </c>
      <c r="D96" s="149">
        <f>TRUNC(($D$88*C96),2)</f>
        <v>9</v>
      </c>
    </row>
    <row r="97" spans="1:4">
      <c r="A97" s="128" t="s">
        <v>53</v>
      </c>
      <c r="B97" t="s">
        <v>136</v>
      </c>
      <c r="C97" s="145">
        <f>((1+1/3)/12)*0.03*((4/12))</f>
        <v>0.00111111111111111</v>
      </c>
      <c r="D97" s="149">
        <f>TRUNC(($D$88*C97),2)</f>
        <v>3</v>
      </c>
    </row>
    <row r="98" ht="30" spans="1:4">
      <c r="A98" s="128" t="s">
        <v>55</v>
      </c>
      <c r="B98" s="152" t="s">
        <v>215</v>
      </c>
      <c r="C98" s="157">
        <v>0</v>
      </c>
      <c r="D98" s="149">
        <f>TRUNC($D$88*C98)</f>
        <v>0</v>
      </c>
    </row>
    <row r="99" spans="1:4">
      <c r="A99" s="128" t="s">
        <v>58</v>
      </c>
      <c r="C99" s="151">
        <f>SUM(C93:C98)</f>
        <v>0.0348148148148148</v>
      </c>
      <c r="D99" s="135">
        <f>TRUNC(SUM(D93:D98),2)</f>
        <v>94.02</v>
      </c>
    </row>
    <row r="100" spans="1:4">
      <c r="A100" s="128"/>
      <c r="C100" s="128"/>
      <c r="D100" s="135"/>
    </row>
    <row r="101" spans="1:4">
      <c r="A101" s="126" t="s">
        <v>144</v>
      </c>
      <c r="B101" s="126"/>
      <c r="C101" s="126"/>
      <c r="D101" s="126"/>
    </row>
    <row r="102" spans="1:4">
      <c r="A102" s="128" t="s">
        <v>145</v>
      </c>
      <c r="B102" s="133" t="s">
        <v>146</v>
      </c>
      <c r="C102" s="128" t="s">
        <v>18</v>
      </c>
      <c r="D102" s="128" t="s">
        <v>19</v>
      </c>
    </row>
    <row r="103" ht="105" spans="1:4">
      <c r="A103" s="147" t="s">
        <v>42</v>
      </c>
      <c r="B103" s="158" t="s">
        <v>147</v>
      </c>
      <c r="C103" s="159" t="s">
        <v>216</v>
      </c>
      <c r="D103" s="160" t="s">
        <v>217</v>
      </c>
    </row>
    <row r="104" spans="1:4">
      <c r="A104" s="128" t="s">
        <v>58</v>
      </c>
      <c r="C104" s="128"/>
      <c r="D104" s="162" t="str">
        <f>D103</f>
        <v>*=TRUNCAR(($D$86/220)*(1*(365/12))/2)</v>
      </c>
    </row>
    <row r="106" spans="1:4">
      <c r="A106" s="126" t="s">
        <v>148</v>
      </c>
      <c r="B106" s="126"/>
      <c r="C106" s="126"/>
      <c r="D106" s="126"/>
    </row>
    <row r="107" spans="1:4">
      <c r="A107" s="128" t="s">
        <v>149</v>
      </c>
      <c r="B107" s="133" t="s">
        <v>150</v>
      </c>
      <c r="C107" s="128" t="s">
        <v>18</v>
      </c>
      <c r="D107" s="128" t="s">
        <v>19</v>
      </c>
    </row>
    <row r="108" spans="1:4">
      <c r="A108" s="128" t="s">
        <v>129</v>
      </c>
      <c r="B108" t="s">
        <v>130</v>
      </c>
      <c r="D108" s="130">
        <f>D99</f>
        <v>94.02</v>
      </c>
    </row>
    <row r="109" spans="1:4">
      <c r="A109" s="128" t="s">
        <v>145</v>
      </c>
      <c r="B109" t="s">
        <v>151</v>
      </c>
      <c r="C109" s="133"/>
      <c r="D109" s="163" t="str">
        <f>Submódulo4.260_55[[#Totals],[Valor]]</f>
        <v>*=TRUNCAR(($D$86/220)*(1*(365/12))/2)</v>
      </c>
    </row>
    <row r="110" ht="75" spans="1:4">
      <c r="A110" s="147" t="s">
        <v>58</v>
      </c>
      <c r="B110" s="148"/>
      <c r="C110" s="159" t="s">
        <v>218</v>
      </c>
      <c r="D110" s="164">
        <f>TRUNC((SUM(D108:D109)),2)</f>
        <v>94.02</v>
      </c>
    </row>
    <row r="112" spans="1:4">
      <c r="A112" s="110" t="s">
        <v>152</v>
      </c>
      <c r="B112" s="110"/>
      <c r="C112" s="110"/>
      <c r="D112" s="110"/>
    </row>
    <row r="113" spans="1:4">
      <c r="A113" s="147" t="s">
        <v>153</v>
      </c>
      <c r="B113" s="148" t="s">
        <v>154</v>
      </c>
      <c r="C113" s="147" t="s">
        <v>18</v>
      </c>
      <c r="D113" s="147" t="s">
        <v>19</v>
      </c>
    </row>
    <row r="114" spans="1:4">
      <c r="A114" s="128" t="s">
        <v>42</v>
      </c>
      <c r="B114" t="s">
        <v>219</v>
      </c>
      <c r="D114" s="165">
        <f>Uniformes!G56</f>
        <v>86.39</v>
      </c>
    </row>
    <row r="115" spans="1:4">
      <c r="A115" s="128" t="s">
        <v>45</v>
      </c>
      <c r="B115" t="s">
        <v>220</v>
      </c>
      <c r="D115" s="165">
        <v>0</v>
      </c>
    </row>
    <row r="116" spans="1:4">
      <c r="A116" s="128" t="s">
        <v>48</v>
      </c>
      <c r="B116" t="s">
        <v>156</v>
      </c>
      <c r="D116" s="165">
        <f>Materiais!G6</f>
        <v>2.6325</v>
      </c>
    </row>
    <row r="117" spans="1:4">
      <c r="A117" s="128" t="s">
        <v>50</v>
      </c>
      <c r="B117" t="s">
        <v>157</v>
      </c>
      <c r="D117" s="165">
        <v>0</v>
      </c>
    </row>
    <row r="118" spans="1:4">
      <c r="A118" s="128" t="s">
        <v>53</v>
      </c>
      <c r="B118" t="s">
        <v>221</v>
      </c>
      <c r="D118" s="165">
        <f>H116</f>
        <v>0</v>
      </c>
    </row>
    <row r="119" spans="1:4">
      <c r="A119" s="128" t="s">
        <v>58</v>
      </c>
      <c r="D119" s="166">
        <f>TRUNC(SUM(D114:D118),2)</f>
        <v>89.02</v>
      </c>
    </row>
    <row r="120" ht="15.75"/>
    <row r="121" ht="16.5" spans="1:4">
      <c r="A121" s="139" t="s">
        <v>222</v>
      </c>
      <c r="B121" s="139"/>
      <c r="C121" s="140" t="s">
        <v>202</v>
      </c>
      <c r="D121" s="141">
        <f>D31</f>
        <v>1236.84</v>
      </c>
    </row>
    <row r="122" ht="16.5" spans="1:4">
      <c r="A122" s="139"/>
      <c r="B122" s="139"/>
      <c r="C122" s="142" t="s">
        <v>212</v>
      </c>
      <c r="D122" s="141">
        <f>D73</f>
        <v>1389.67</v>
      </c>
    </row>
    <row r="123" ht="16.5" spans="1:4">
      <c r="A123" s="139"/>
      <c r="B123" s="139"/>
      <c r="C123" s="140" t="s">
        <v>213</v>
      </c>
      <c r="D123" s="141">
        <f>D83</f>
        <v>74.72</v>
      </c>
    </row>
    <row r="124" ht="16.5" spans="1:4">
      <c r="A124" s="139"/>
      <c r="B124" s="139"/>
      <c r="C124" s="142" t="s">
        <v>223</v>
      </c>
      <c r="D124" s="141">
        <f>D110</f>
        <v>94.02</v>
      </c>
    </row>
    <row r="125" ht="16.5" spans="1:4">
      <c r="A125" s="139"/>
      <c r="B125" s="139"/>
      <c r="C125" s="140" t="s">
        <v>224</v>
      </c>
      <c r="D125" s="141">
        <f>D119</f>
        <v>89.02</v>
      </c>
    </row>
    <row r="126" ht="16.5" spans="1:4">
      <c r="A126" s="139"/>
      <c r="B126" s="139"/>
      <c r="C126" s="142" t="s">
        <v>204</v>
      </c>
      <c r="D126" s="143">
        <f>TRUNC((SUM(D121:D125)),2)</f>
        <v>2884.27</v>
      </c>
    </row>
    <row r="127" ht="15.75"/>
    <row r="128" ht="15.75" spans="1:7">
      <c r="A128" s="110" t="s">
        <v>164</v>
      </c>
      <c r="B128" s="110"/>
      <c r="C128" s="110"/>
      <c r="D128" s="110"/>
      <c r="F128" s="167" t="s">
        <v>225</v>
      </c>
      <c r="G128" s="167"/>
    </row>
    <row r="129" ht="15.75" spans="1:7">
      <c r="A129" s="128" t="s">
        <v>165</v>
      </c>
      <c r="B129" t="s">
        <v>166</v>
      </c>
      <c r="C129" s="128" t="s">
        <v>38</v>
      </c>
      <c r="D129" s="128" t="s">
        <v>19</v>
      </c>
      <c r="F129" s="169" t="s">
        <v>226</v>
      </c>
      <c r="G129" s="153">
        <f>C132</f>
        <v>0.0865</v>
      </c>
    </row>
    <row r="130" ht="15.75" spans="1:7">
      <c r="A130" s="128" t="s">
        <v>42</v>
      </c>
      <c r="B130" t="s">
        <v>167</v>
      </c>
      <c r="C130" s="168">
        <v>0.04</v>
      </c>
      <c r="D130" s="165">
        <f>TRUNC(($D$126*C130),2)</f>
        <v>115.37</v>
      </c>
      <c r="F130" s="170" t="s">
        <v>227</v>
      </c>
      <c r="G130" s="181">
        <f>TRUNC(SUM(D126,D130,D131),2)</f>
        <v>3149.62</v>
      </c>
    </row>
    <row r="131" ht="15.75" spans="1:7">
      <c r="A131" s="128" t="s">
        <v>45</v>
      </c>
      <c r="B131" t="s">
        <v>59</v>
      </c>
      <c r="C131" s="168">
        <v>0.05</v>
      </c>
      <c r="D131" s="165">
        <f>TRUNC((C131*(D126+D130)),2)</f>
        <v>149.98</v>
      </c>
      <c r="F131" s="169" t="s">
        <v>228</v>
      </c>
      <c r="G131" s="172">
        <f>(100-8.65)/100</f>
        <v>0.9135</v>
      </c>
    </row>
    <row r="132" ht="15.75" spans="1:7">
      <c r="A132" s="128" t="s">
        <v>48</v>
      </c>
      <c r="B132" t="s">
        <v>168</v>
      </c>
      <c r="C132" s="145">
        <f>SUM(C133:C135)</f>
        <v>0.0865</v>
      </c>
      <c r="D132" s="130">
        <f>TRUNC((SUM(D133:D135)),2)</f>
        <v>298.23</v>
      </c>
      <c r="F132" s="170" t="s">
        <v>225</v>
      </c>
      <c r="G132" s="181">
        <f>TRUNC((G130/G131),2)</f>
        <v>3447.85</v>
      </c>
    </row>
    <row r="133" ht="15.75" spans="1:4">
      <c r="A133" s="128"/>
      <c r="B133" t="s">
        <v>229</v>
      </c>
      <c r="C133" s="145">
        <v>0.0065</v>
      </c>
      <c r="D133" s="130">
        <f>TRUNC(($G$132*C133),2)</f>
        <v>22.41</v>
      </c>
    </row>
    <row r="134" spans="1:4">
      <c r="A134" s="128"/>
      <c r="B134" t="s">
        <v>230</v>
      </c>
      <c r="C134" s="145">
        <v>0.03</v>
      </c>
      <c r="D134" s="130">
        <f>TRUNC(($G$132*C134),2)</f>
        <v>103.43</v>
      </c>
    </row>
    <row r="135" spans="1:4">
      <c r="A135" s="128"/>
      <c r="B135" t="s">
        <v>231</v>
      </c>
      <c r="C135" s="145">
        <v>0.05</v>
      </c>
      <c r="D135" s="130">
        <f>TRUNC(($G$132*C135),2)</f>
        <v>172.39</v>
      </c>
    </row>
    <row r="136" spans="1:4">
      <c r="A136" s="128" t="s">
        <v>58</v>
      </c>
      <c r="C136" s="173"/>
      <c r="D136" s="135">
        <f>TRUNC(SUM(D130:D132),2)</f>
        <v>563.58</v>
      </c>
    </row>
    <row r="137" spans="1:4">
      <c r="A137" s="128"/>
      <c r="C137" s="173"/>
      <c r="D137" s="135"/>
    </row>
    <row r="139" spans="1:4">
      <c r="A139" s="110" t="s">
        <v>172</v>
      </c>
      <c r="B139" s="110"/>
      <c r="C139" s="110"/>
      <c r="D139" s="110"/>
    </row>
    <row r="140" spans="1:4">
      <c r="A140" s="128" t="s">
        <v>16</v>
      </c>
      <c r="B140" s="128" t="s">
        <v>173</v>
      </c>
      <c r="C140" s="128" t="s">
        <v>102</v>
      </c>
      <c r="D140" s="128" t="s">
        <v>19</v>
      </c>
    </row>
    <row r="141" spans="1:4">
      <c r="A141" s="128" t="s">
        <v>42</v>
      </c>
      <c r="B141" t="s">
        <v>36</v>
      </c>
      <c r="D141" s="135">
        <f>D31</f>
        <v>1236.84</v>
      </c>
    </row>
    <row r="142" spans="1:4">
      <c r="A142" s="128" t="s">
        <v>45</v>
      </c>
      <c r="B142" t="s">
        <v>61</v>
      </c>
      <c r="D142" s="135">
        <f>D73</f>
        <v>1389.67</v>
      </c>
    </row>
    <row r="143" spans="1:4">
      <c r="A143" s="128" t="s">
        <v>48</v>
      </c>
      <c r="B143" t="s">
        <v>108</v>
      </c>
      <c r="D143" s="135">
        <f>D83</f>
        <v>74.72</v>
      </c>
    </row>
    <row r="144" spans="1:4">
      <c r="A144" s="128" t="s">
        <v>50</v>
      </c>
      <c r="B144" t="s">
        <v>174</v>
      </c>
      <c r="D144" s="135">
        <f>D110</f>
        <v>94.02</v>
      </c>
    </row>
    <row r="145" spans="1:4">
      <c r="A145" s="128" t="s">
        <v>53</v>
      </c>
      <c r="B145" t="s">
        <v>152</v>
      </c>
      <c r="D145" s="135">
        <f>D119</f>
        <v>89.02</v>
      </c>
    </row>
    <row r="146" spans="2:4">
      <c r="B146" s="174" t="s">
        <v>232</v>
      </c>
      <c r="D146" s="135">
        <f>TRUNC(SUM(D141:D145),2)</f>
        <v>2884.27</v>
      </c>
    </row>
    <row r="147" spans="1:4">
      <c r="A147" s="128" t="s">
        <v>55</v>
      </c>
      <c r="B147" t="s">
        <v>164</v>
      </c>
      <c r="D147" s="135">
        <f>D136</f>
        <v>563.58</v>
      </c>
    </row>
    <row r="148" spans="1:4">
      <c r="A148" s="175"/>
      <c r="B148" s="176" t="s">
        <v>233</v>
      </c>
      <c r="C148" s="175"/>
      <c r="D148" s="177">
        <f>TRUNC((SUM(D141:D145)+D147),2)</f>
        <v>3447.85</v>
      </c>
    </row>
    <row r="149" spans="1:4">
      <c r="A149" s="182"/>
      <c r="B149" s="183" t="s">
        <v>247</v>
      </c>
      <c r="C149" s="182"/>
      <c r="D149" s="184">
        <f>TRUNC(D148*2,2)</f>
        <v>6895.7</v>
      </c>
    </row>
  </sheetData>
  <mergeCells count="33">
    <mergeCell ref="A2:D2"/>
    <mergeCell ref="A3:D3"/>
    <mergeCell ref="A6:D6"/>
    <mergeCell ref="C7:D7"/>
    <mergeCell ref="C8:D8"/>
    <mergeCell ref="C9:D9"/>
    <mergeCell ref="C10:D10"/>
    <mergeCell ref="A11:D11"/>
    <mergeCell ref="A12:B12"/>
    <mergeCell ref="A13:B13"/>
    <mergeCell ref="A14:B14"/>
    <mergeCell ref="A15:D15"/>
    <mergeCell ref="F15:G15"/>
    <mergeCell ref="F22:G22"/>
    <mergeCell ref="A23:D23"/>
    <mergeCell ref="F31:G31"/>
    <mergeCell ref="A33:D33"/>
    <mergeCell ref="A35:D35"/>
    <mergeCell ref="A45:D45"/>
    <mergeCell ref="A57:D57"/>
    <mergeCell ref="A68:D68"/>
    <mergeCell ref="A75:D75"/>
    <mergeCell ref="A90:D90"/>
    <mergeCell ref="A91:D91"/>
    <mergeCell ref="A101:D101"/>
    <mergeCell ref="A106:D106"/>
    <mergeCell ref="A112:D112"/>
    <mergeCell ref="A128:D128"/>
    <mergeCell ref="F128:G128"/>
    <mergeCell ref="A139:D139"/>
    <mergeCell ref="A41:B43"/>
    <mergeCell ref="A85:B88"/>
    <mergeCell ref="A121:B126"/>
  </mergeCells>
  <pageMargins left="0.75" right="0.75" top="1" bottom="1" header="0.5" footer="0.5"/>
  <pageSetup paperSize="9" orientation="landscape"/>
  <headerFooter/>
  <tableParts count="13">
    <tablePart r:id="rId1"/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</tableParts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G149"/>
  <sheetViews>
    <sheetView workbookViewId="0">
      <selection activeCell="H10" sqref="H10"/>
    </sheetView>
  </sheetViews>
  <sheetFormatPr defaultColWidth="9.14285714285714" defaultRowHeight="15" outlineLevelCol="6"/>
  <cols>
    <col min="1" max="1" width="11.7809523809524" customWidth="1"/>
    <col min="2" max="2" width="45.552380952381" customWidth="1"/>
    <col min="3" max="3" width="22.1142857142857" customWidth="1"/>
    <col min="4" max="4" width="41" customWidth="1"/>
    <col min="6" max="6" width="22.8571428571429" customWidth="1"/>
    <col min="7" max="7" width="13.647619047619" style="1" customWidth="1"/>
    <col min="8" max="8" width="10.952380952381" customWidth="1"/>
    <col min="9" max="9" width="11.4285714285714" customWidth="1"/>
  </cols>
  <sheetData>
    <row r="2" ht="19.5" spans="1:4">
      <c r="A2" s="103" t="s">
        <v>177</v>
      </c>
      <c r="B2" s="103"/>
      <c r="C2" s="103"/>
      <c r="D2" s="103"/>
    </row>
    <row r="3" ht="15.75" spans="1:4">
      <c r="A3" s="104" t="s">
        <v>178</v>
      </c>
      <c r="B3" s="104"/>
      <c r="C3" s="104"/>
      <c r="D3" s="104"/>
    </row>
    <row r="4" spans="1:4">
      <c r="A4" s="105" t="s">
        <v>179</v>
      </c>
      <c r="B4" s="106" t="s">
        <v>180</v>
      </c>
      <c r="C4" s="107"/>
      <c r="D4" s="107"/>
    </row>
    <row r="5" spans="1:4">
      <c r="A5" s="108"/>
      <c r="B5" s="109"/>
      <c r="C5" s="109"/>
      <c r="D5" s="109"/>
    </row>
    <row r="6" ht="15.75" spans="1:4">
      <c r="A6" s="110" t="s">
        <v>181</v>
      </c>
      <c r="B6" s="110"/>
      <c r="C6" s="110"/>
      <c r="D6" s="110"/>
    </row>
    <row r="7" ht="15.75" spans="1:4">
      <c r="A7" s="111" t="s">
        <v>42</v>
      </c>
      <c r="B7" s="112" t="s">
        <v>182</v>
      </c>
      <c r="C7" s="113" t="s">
        <v>183</v>
      </c>
      <c r="D7" s="113"/>
    </row>
    <row r="8" spans="1:4">
      <c r="A8" s="114" t="s">
        <v>45</v>
      </c>
      <c r="B8" s="115" t="s">
        <v>184</v>
      </c>
      <c r="C8" s="116" t="s">
        <v>185</v>
      </c>
      <c r="D8" s="116"/>
    </row>
    <row r="9" spans="1:4">
      <c r="A9" s="117" t="s">
        <v>48</v>
      </c>
      <c r="B9" s="118" t="s">
        <v>186</v>
      </c>
      <c r="C9" s="116" t="s">
        <v>248</v>
      </c>
      <c r="D9" s="116"/>
    </row>
    <row r="10" spans="1:4">
      <c r="A10" s="114" t="s">
        <v>53</v>
      </c>
      <c r="B10" s="115" t="s">
        <v>188</v>
      </c>
      <c r="C10" s="116" t="s">
        <v>189</v>
      </c>
      <c r="D10" s="116"/>
    </row>
    <row r="11" ht="15.75" spans="1:4">
      <c r="A11" s="119" t="s">
        <v>190</v>
      </c>
      <c r="B11" s="119"/>
      <c r="C11" s="119"/>
      <c r="D11" s="119"/>
    </row>
    <row r="12" ht="16.5" spans="1:4">
      <c r="A12" s="120" t="s">
        <v>191</v>
      </c>
      <c r="B12" s="120"/>
      <c r="C12" s="119" t="s">
        <v>192</v>
      </c>
      <c r="D12" s="121" t="s">
        <v>193</v>
      </c>
    </row>
    <row r="13" ht="15.75" spans="1:4">
      <c r="A13" s="122" t="s">
        <v>249</v>
      </c>
      <c r="B13" s="122"/>
      <c r="C13" s="116" t="s">
        <v>195</v>
      </c>
      <c r="D13" s="123">
        <f>RESUMO!D7</f>
        <v>2</v>
      </c>
    </row>
    <row r="14" spans="1:4">
      <c r="A14" s="124"/>
      <c r="B14" s="124"/>
      <c r="C14" s="116"/>
      <c r="D14" s="125"/>
    </row>
    <row r="15" ht="15.75" spans="1:7">
      <c r="A15" s="119" t="s">
        <v>14</v>
      </c>
      <c r="B15" s="119"/>
      <c r="C15" s="119"/>
      <c r="D15" s="119"/>
      <c r="F15" s="126"/>
      <c r="G15" s="127"/>
    </row>
    <row r="16" ht="15.75" spans="1:4">
      <c r="A16" s="128" t="s">
        <v>16</v>
      </c>
      <c r="B16" t="s">
        <v>17</v>
      </c>
      <c r="C16" s="128" t="s">
        <v>18</v>
      </c>
      <c r="D16" s="128" t="s">
        <v>19</v>
      </c>
    </row>
    <row r="17" spans="1:4">
      <c r="A17" s="128">
        <v>1</v>
      </c>
      <c r="B17" t="s">
        <v>20</v>
      </c>
      <c r="C17" s="129" t="s">
        <v>102</v>
      </c>
      <c r="D17" s="129" t="str">
        <f>A13</f>
        <v>Motorista Interestadual</v>
      </c>
    </row>
    <row r="18" spans="1:4">
      <c r="A18" s="128">
        <v>2</v>
      </c>
      <c r="B18" t="s">
        <v>23</v>
      </c>
      <c r="C18" s="129" t="s">
        <v>196</v>
      </c>
      <c r="D18" s="129" t="s">
        <v>250</v>
      </c>
    </row>
    <row r="19" spans="1:4">
      <c r="A19" s="128">
        <v>3</v>
      </c>
      <c r="B19" t="s">
        <v>26</v>
      </c>
      <c r="C19" s="129" t="str">
        <f>C9</f>
        <v>CCT PB000035/2019*</v>
      </c>
      <c r="D19" s="130">
        <v>2629</v>
      </c>
    </row>
    <row r="20" spans="1:4">
      <c r="A20" s="128">
        <v>4</v>
      </c>
      <c r="B20" t="s">
        <v>29</v>
      </c>
      <c r="C20" s="129" t="str">
        <f>C9</f>
        <v>CCT PB000035/2019*</v>
      </c>
      <c r="D20" s="131" t="s">
        <v>251</v>
      </c>
    </row>
    <row r="21" spans="1:4">
      <c r="A21" s="128">
        <v>5</v>
      </c>
      <c r="B21" t="s">
        <v>33</v>
      </c>
      <c r="C21" s="129" t="str">
        <f>C9</f>
        <v>CCT PB000035/2019*</v>
      </c>
      <c r="D21" s="132" t="s">
        <v>199</v>
      </c>
    </row>
    <row r="22" spans="6:7">
      <c r="F22" s="126"/>
      <c r="G22" s="127"/>
    </row>
    <row r="23" spans="1:4">
      <c r="A23" s="110" t="s">
        <v>36</v>
      </c>
      <c r="B23" s="110"/>
      <c r="C23" s="110"/>
      <c r="D23" s="110"/>
    </row>
    <row r="24" spans="1:7">
      <c r="A24" s="128" t="s">
        <v>39</v>
      </c>
      <c r="B24" s="133" t="s">
        <v>40</v>
      </c>
      <c r="C24" s="128" t="s">
        <v>18</v>
      </c>
      <c r="D24" s="128" t="s">
        <v>19</v>
      </c>
      <c r="G24" s="134"/>
    </row>
    <row r="25" spans="1:7">
      <c r="A25" s="128" t="s">
        <v>42</v>
      </c>
      <c r="B25" t="s">
        <v>43</v>
      </c>
      <c r="C25" s="131" t="str">
        <f>C9</f>
        <v>CCT PB000035/2019*</v>
      </c>
      <c r="D25" s="130">
        <f>D19</f>
        <v>2629</v>
      </c>
      <c r="G25" s="134"/>
    </row>
    <row r="26" spans="1:7">
      <c r="A26" s="128" t="s">
        <v>45</v>
      </c>
      <c r="B26" t="s">
        <v>46</v>
      </c>
      <c r="C26" s="131"/>
      <c r="D26" s="130">
        <v>0</v>
      </c>
      <c r="G26" s="134"/>
    </row>
    <row r="27" spans="1:4">
      <c r="A27" s="128" t="s">
        <v>48</v>
      </c>
      <c r="B27" t="s">
        <v>49</v>
      </c>
      <c r="C27" s="131"/>
      <c r="D27" s="130">
        <v>0</v>
      </c>
    </row>
    <row r="28" spans="1:4">
      <c r="A28" s="128" t="s">
        <v>50</v>
      </c>
      <c r="B28" t="s">
        <v>51</v>
      </c>
      <c r="C28" s="131"/>
      <c r="D28" s="130">
        <v>0</v>
      </c>
    </row>
    <row r="29" spans="1:4">
      <c r="A29" s="128" t="s">
        <v>53</v>
      </c>
      <c r="B29" t="s">
        <v>54</v>
      </c>
      <c r="C29" s="131"/>
      <c r="D29" s="130">
        <v>0</v>
      </c>
    </row>
    <row r="30" spans="1:4">
      <c r="A30" s="128" t="s">
        <v>55</v>
      </c>
      <c r="B30" t="s">
        <v>56</v>
      </c>
      <c r="C30" s="131"/>
      <c r="D30" s="130">
        <v>0</v>
      </c>
    </row>
    <row r="31" spans="1:7">
      <c r="A31" s="128" t="s">
        <v>58</v>
      </c>
      <c r="C31" s="128"/>
      <c r="D31" s="135">
        <f>TRUNC(SUM(D25:D30),2)</f>
        <v>2629</v>
      </c>
      <c r="F31" s="126"/>
      <c r="G31" s="127"/>
    </row>
    <row r="33" spans="1:7">
      <c r="A33" s="136" t="s">
        <v>61</v>
      </c>
      <c r="B33" s="136"/>
      <c r="C33" s="136"/>
      <c r="D33" s="136"/>
      <c r="G33" s="134"/>
    </row>
    <row r="35" spans="1:4">
      <c r="A35" s="126" t="s">
        <v>63</v>
      </c>
      <c r="B35" s="126"/>
      <c r="C35" s="126"/>
      <c r="D35" s="126"/>
    </row>
    <row r="36" spans="1:4">
      <c r="A36" s="128" t="s">
        <v>65</v>
      </c>
      <c r="B36" s="133" t="s">
        <v>66</v>
      </c>
      <c r="C36" s="128" t="s">
        <v>38</v>
      </c>
      <c r="D36" s="128" t="s">
        <v>19</v>
      </c>
    </row>
    <row r="37" spans="1:6">
      <c r="A37" s="128" t="s">
        <v>42</v>
      </c>
      <c r="B37" t="s">
        <v>67</v>
      </c>
      <c r="C37" s="137">
        <f>(1/12)</f>
        <v>0.0833333333333333</v>
      </c>
      <c r="D37" s="135">
        <f>TRUNC($D$31*C37,2)</f>
        <v>219.08</v>
      </c>
      <c r="F37" s="138"/>
    </row>
    <row r="38" spans="1:6">
      <c r="A38" s="128" t="s">
        <v>45</v>
      </c>
      <c r="B38" t="s">
        <v>68</v>
      </c>
      <c r="C38" s="137">
        <f>(((1+1/3)/12))</f>
        <v>0.111111111111111</v>
      </c>
      <c r="D38" s="135">
        <f>TRUNC($D$31*C38,2)</f>
        <v>292.11</v>
      </c>
      <c r="F38" s="138"/>
    </row>
    <row r="39" spans="1:6">
      <c r="A39" s="128" t="s">
        <v>58</v>
      </c>
      <c r="D39" s="135">
        <f>TRUNC((SUM(D37:D38)),2)</f>
        <v>511.19</v>
      </c>
      <c r="F39" s="138"/>
    </row>
    <row r="40" ht="15.75" spans="4:6">
      <c r="D40" s="135"/>
      <c r="F40" s="138"/>
    </row>
    <row r="41" ht="16.5" spans="1:6">
      <c r="A41" s="139" t="s">
        <v>201</v>
      </c>
      <c r="B41" s="139"/>
      <c r="C41" s="140" t="s">
        <v>202</v>
      </c>
      <c r="D41" s="141">
        <f>D31</f>
        <v>2629</v>
      </c>
      <c r="F41" s="138"/>
    </row>
    <row r="42" ht="16.5" spans="1:6">
      <c r="A42" s="139"/>
      <c r="B42" s="139"/>
      <c r="C42" s="142" t="s">
        <v>203</v>
      </c>
      <c r="D42" s="141">
        <f>D39</f>
        <v>511.19</v>
      </c>
      <c r="F42" s="138"/>
    </row>
    <row r="43" ht="16.5" spans="1:6">
      <c r="A43" s="139"/>
      <c r="B43" s="139"/>
      <c r="C43" s="140" t="s">
        <v>204</v>
      </c>
      <c r="D43" s="143">
        <f>TRUNC((SUM(D41:D42)),2)</f>
        <v>3140.19</v>
      </c>
      <c r="F43" s="138"/>
    </row>
    <row r="44" ht="15.75" spans="1:6">
      <c r="A44" s="128"/>
      <c r="C44" s="144"/>
      <c r="D44" s="135"/>
      <c r="F44" s="138"/>
    </row>
    <row r="45" spans="1:4">
      <c r="A45" s="126" t="s">
        <v>77</v>
      </c>
      <c r="B45" s="126"/>
      <c r="C45" s="126"/>
      <c r="D45" s="126"/>
    </row>
    <row r="46" spans="1:4">
      <c r="A46" s="128" t="s">
        <v>78</v>
      </c>
      <c r="B46" s="133" t="s">
        <v>79</v>
      </c>
      <c r="C46" s="128" t="s">
        <v>38</v>
      </c>
      <c r="D46" s="128" t="s">
        <v>80</v>
      </c>
    </row>
    <row r="47" spans="1:4">
      <c r="A47" s="128" t="s">
        <v>42</v>
      </c>
      <c r="B47" t="s">
        <v>81</v>
      </c>
      <c r="C47" s="137">
        <v>0.2</v>
      </c>
      <c r="D47" s="135">
        <f t="shared" ref="D47:D54" si="0">TRUNC(($D$43*C47),2)</f>
        <v>628.03</v>
      </c>
    </row>
    <row r="48" spans="1:4">
      <c r="A48" s="128" t="s">
        <v>45</v>
      </c>
      <c r="B48" t="s">
        <v>82</v>
      </c>
      <c r="C48" s="137">
        <v>0.025</v>
      </c>
      <c r="D48" s="135">
        <f t="shared" si="0"/>
        <v>78.5</v>
      </c>
    </row>
    <row r="49" spans="1:4">
      <c r="A49" s="128" t="s">
        <v>48</v>
      </c>
      <c r="B49" t="s">
        <v>205</v>
      </c>
      <c r="C49" s="145">
        <v>0.06</v>
      </c>
      <c r="D49" s="130">
        <f t="shared" si="0"/>
        <v>188.41</v>
      </c>
    </row>
    <row r="50" spans="1:4">
      <c r="A50" s="128" t="s">
        <v>50</v>
      </c>
      <c r="B50" t="s">
        <v>84</v>
      </c>
      <c r="C50" s="137">
        <v>0.015</v>
      </c>
      <c r="D50" s="135">
        <f t="shared" si="0"/>
        <v>47.1</v>
      </c>
    </row>
    <row r="51" spans="1:4">
      <c r="A51" s="128" t="s">
        <v>53</v>
      </c>
      <c r="B51" t="s">
        <v>85</v>
      </c>
      <c r="C51" s="137">
        <v>0.01</v>
      </c>
      <c r="D51" s="135">
        <f t="shared" si="0"/>
        <v>31.4</v>
      </c>
    </row>
    <row r="52" spans="1:4">
      <c r="A52" s="128" t="s">
        <v>55</v>
      </c>
      <c r="B52" t="s">
        <v>86</v>
      </c>
      <c r="C52" s="137">
        <v>0.006</v>
      </c>
      <c r="D52" s="135">
        <f t="shared" si="0"/>
        <v>18.84</v>
      </c>
    </row>
    <row r="53" spans="1:4">
      <c r="A53" s="128" t="s">
        <v>87</v>
      </c>
      <c r="B53" t="s">
        <v>88</v>
      </c>
      <c r="C53" s="137">
        <v>0.002</v>
      </c>
      <c r="D53" s="135">
        <f t="shared" si="0"/>
        <v>6.28</v>
      </c>
    </row>
    <row r="54" spans="1:4">
      <c r="A54" s="128" t="s">
        <v>89</v>
      </c>
      <c r="B54" t="s">
        <v>90</v>
      </c>
      <c r="C54" s="137">
        <v>0.08</v>
      </c>
      <c r="D54" s="135">
        <f t="shared" si="0"/>
        <v>251.21</v>
      </c>
    </row>
    <row r="55" spans="1:4">
      <c r="A55" s="128" t="s">
        <v>58</v>
      </c>
      <c r="C55" s="144">
        <f>SUM(C47:C54)</f>
        <v>0.398</v>
      </c>
      <c r="D55" s="135">
        <f>TRUNC((SUM(D47:D54)),2)</f>
        <v>1249.77</v>
      </c>
    </row>
    <row r="56" spans="1:4">
      <c r="A56" s="128"/>
      <c r="C56" s="144"/>
      <c r="D56" s="135"/>
    </row>
    <row r="57" spans="1:4">
      <c r="A57" s="126" t="s">
        <v>95</v>
      </c>
      <c r="B57" s="126"/>
      <c r="C57" s="126"/>
      <c r="D57" s="126"/>
    </row>
    <row r="58" spans="1:4">
      <c r="A58" s="128" t="s">
        <v>96</v>
      </c>
      <c r="B58" s="133" t="s">
        <v>97</v>
      </c>
      <c r="C58" s="128" t="s">
        <v>18</v>
      </c>
      <c r="D58" s="128" t="s">
        <v>19</v>
      </c>
    </row>
    <row r="59" spans="1:4">
      <c r="A59" s="128" t="s">
        <v>42</v>
      </c>
      <c r="B59" t="s">
        <v>98</v>
      </c>
      <c r="C59" s="129"/>
      <c r="D59" s="146">
        <v>0</v>
      </c>
    </row>
    <row r="60" spans="1:4">
      <c r="A60" s="128" t="s">
        <v>45</v>
      </c>
      <c r="B60" t="s">
        <v>99</v>
      </c>
      <c r="C60" s="129" t="str">
        <f>C9</f>
        <v>CCT PB000035/2019*</v>
      </c>
      <c r="D60" s="130">
        <v>600</v>
      </c>
    </row>
    <row r="61" spans="1:4">
      <c r="A61" s="128" t="s">
        <v>48</v>
      </c>
      <c r="B61" t="s">
        <v>100</v>
      </c>
      <c r="C61" s="129"/>
      <c r="D61" s="130">
        <v>0</v>
      </c>
    </row>
    <row r="62" spans="1:6">
      <c r="A62" s="147" t="s">
        <v>50</v>
      </c>
      <c r="B62" s="148" t="s">
        <v>206</v>
      </c>
      <c r="C62" s="149"/>
      <c r="D62" s="149">
        <v>0</v>
      </c>
      <c r="F62" s="148"/>
    </row>
    <row r="63" spans="1:4">
      <c r="A63" s="128" t="s">
        <v>53</v>
      </c>
      <c r="B63" s="133" t="s">
        <v>207</v>
      </c>
      <c r="C63" s="129"/>
      <c r="D63" s="130">
        <v>0</v>
      </c>
    </row>
    <row r="64" spans="1:4">
      <c r="A64" s="128" t="s">
        <v>55</v>
      </c>
      <c r="B64" s="150" t="s">
        <v>208</v>
      </c>
      <c r="C64" s="149"/>
      <c r="D64" s="130">
        <v>0</v>
      </c>
    </row>
    <row r="65" spans="1:4">
      <c r="A65" s="128" t="s">
        <v>58</v>
      </c>
      <c r="D65" s="135">
        <f>TRUNC((SUM(D59:D64)),2)</f>
        <v>600</v>
      </c>
    </row>
    <row r="66" spans="1:4">
      <c r="A66" s="128"/>
      <c r="D66" s="135"/>
    </row>
    <row r="67" spans="1:4">
      <c r="A67" s="126" t="s">
        <v>105</v>
      </c>
      <c r="B67" s="126"/>
      <c r="C67" s="126"/>
      <c r="D67" s="126"/>
    </row>
    <row r="68" spans="1:4">
      <c r="A68" s="128" t="s">
        <v>106</v>
      </c>
      <c r="B68" s="133" t="s">
        <v>107</v>
      </c>
      <c r="C68" s="128" t="s">
        <v>18</v>
      </c>
      <c r="D68" s="128" t="s">
        <v>19</v>
      </c>
    </row>
    <row r="69" spans="1:4">
      <c r="A69" s="128" t="s">
        <v>65</v>
      </c>
      <c r="B69" t="s">
        <v>66</v>
      </c>
      <c r="C69" s="128"/>
      <c r="D69" s="135">
        <f>D39</f>
        <v>511.19</v>
      </c>
    </row>
    <row r="70" spans="1:4">
      <c r="A70" s="128" t="s">
        <v>78</v>
      </c>
      <c r="B70" t="s">
        <v>79</v>
      </c>
      <c r="C70" s="128"/>
      <c r="D70" s="135">
        <f>D55</f>
        <v>1249.77</v>
      </c>
    </row>
    <row r="71" spans="1:4">
      <c r="A71" s="128" t="s">
        <v>96</v>
      </c>
      <c r="B71" t="s">
        <v>97</v>
      </c>
      <c r="C71" s="128"/>
      <c r="D71" s="135">
        <f>D65</f>
        <v>600</v>
      </c>
    </row>
    <row r="72" spans="1:4">
      <c r="A72" s="128" t="s">
        <v>58</v>
      </c>
      <c r="C72" s="128"/>
      <c r="D72" s="135">
        <f>TRUNC(SUM(D69:D71),2)</f>
        <v>2360.96</v>
      </c>
    </row>
    <row r="74" spans="1:4">
      <c r="A74" s="110" t="s">
        <v>108</v>
      </c>
      <c r="B74" s="110"/>
      <c r="C74" s="110"/>
      <c r="D74" s="110"/>
    </row>
    <row r="75" spans="1:4">
      <c r="A75" s="128" t="s">
        <v>109</v>
      </c>
      <c r="B75" s="133" t="s">
        <v>110</v>
      </c>
      <c r="C75" s="128" t="s">
        <v>38</v>
      </c>
      <c r="D75" s="128" t="s">
        <v>19</v>
      </c>
    </row>
    <row r="76" spans="1:4">
      <c r="A76" s="128" t="s">
        <v>42</v>
      </c>
      <c r="B76" t="s">
        <v>111</v>
      </c>
      <c r="C76" s="145">
        <f>((1/12)*2%)</f>
        <v>0.00166666666666667</v>
      </c>
      <c r="D76" s="130">
        <f>TRUNC(($D$31*C76),2)</f>
        <v>4.38</v>
      </c>
    </row>
    <row r="77" spans="1:4">
      <c r="A77" s="128" t="s">
        <v>45</v>
      </c>
      <c r="B77" t="s">
        <v>112</v>
      </c>
      <c r="C77" s="151">
        <v>0.08</v>
      </c>
      <c r="D77" s="135">
        <f>TRUNC(($D$76*C77),2)</f>
        <v>0.35</v>
      </c>
    </row>
    <row r="78" ht="30" spans="1:4">
      <c r="A78" s="128" t="s">
        <v>48</v>
      </c>
      <c r="B78" s="152" t="s">
        <v>113</v>
      </c>
      <c r="C78" s="153">
        <f>(0.08*0.4*0.02)</f>
        <v>0.00064</v>
      </c>
      <c r="D78" s="149">
        <f>TRUNC(($D$31*C78),2)</f>
        <v>1.68</v>
      </c>
    </row>
    <row r="79" spans="1:4">
      <c r="A79" s="128" t="s">
        <v>50</v>
      </c>
      <c r="B79" t="s">
        <v>114</v>
      </c>
      <c r="C79" s="154">
        <f>(((7/30)/12)*0.98)</f>
        <v>0.0190555555555556</v>
      </c>
      <c r="D79" s="155">
        <f>TRUNC(($D$31*C79),2)</f>
        <v>50.09</v>
      </c>
    </row>
    <row r="80" ht="30" spans="1:4">
      <c r="A80" s="128" t="s">
        <v>53</v>
      </c>
      <c r="B80" s="152" t="s">
        <v>210</v>
      </c>
      <c r="C80" s="153">
        <f>C54</f>
        <v>0.08</v>
      </c>
      <c r="D80" s="149">
        <f>TRUNC(($D$79*C80),2)</f>
        <v>4</v>
      </c>
    </row>
    <row r="81" ht="30" spans="1:4">
      <c r="A81" s="128" t="s">
        <v>55</v>
      </c>
      <c r="B81" s="152" t="s">
        <v>115</v>
      </c>
      <c r="C81" s="154">
        <f>(0.08*0.4*0.98)</f>
        <v>0.03136</v>
      </c>
      <c r="D81" s="149">
        <f>TRUNC(($D$31*C81),2)</f>
        <v>82.44</v>
      </c>
    </row>
    <row r="82" spans="1:4">
      <c r="A82" s="128" t="s">
        <v>58</v>
      </c>
      <c r="C82" s="151">
        <f>SUM(C76:C81)</f>
        <v>0.212722222222222</v>
      </c>
      <c r="D82" s="135">
        <f>TRUNC((SUM(D76:D81)),2)</f>
        <v>142.94</v>
      </c>
    </row>
    <row r="83" ht="15.75" spans="1:4">
      <c r="A83" s="128"/>
      <c r="D83" s="135"/>
    </row>
    <row r="84" ht="16.5" spans="1:4">
      <c r="A84" s="139" t="s">
        <v>211</v>
      </c>
      <c r="B84" s="139"/>
      <c r="C84" s="140" t="s">
        <v>202</v>
      </c>
      <c r="D84" s="141">
        <f>D31</f>
        <v>2629</v>
      </c>
    </row>
    <row r="85" ht="16.5" spans="1:4">
      <c r="A85" s="139"/>
      <c r="B85" s="139"/>
      <c r="C85" s="142" t="s">
        <v>212</v>
      </c>
      <c r="D85" s="141">
        <f>D72</f>
        <v>2360.96</v>
      </c>
    </row>
    <row r="86" ht="16.5" spans="1:4">
      <c r="A86" s="139"/>
      <c r="B86" s="139"/>
      <c r="C86" s="140" t="s">
        <v>213</v>
      </c>
      <c r="D86" s="141">
        <f>D82</f>
        <v>142.94</v>
      </c>
    </row>
    <row r="87" ht="16.5" spans="1:4">
      <c r="A87" s="139"/>
      <c r="B87" s="139"/>
      <c r="C87" s="142" t="s">
        <v>204</v>
      </c>
      <c r="D87" s="143">
        <f>TRUNC((SUM(D84:D86)),2)</f>
        <v>5132.9</v>
      </c>
    </row>
    <row r="88" ht="15.75" spans="1:4">
      <c r="A88" s="128"/>
      <c r="D88" s="135"/>
    </row>
    <row r="89" spans="1:4">
      <c r="A89" s="156" t="s">
        <v>127</v>
      </c>
      <c r="B89" s="156"/>
      <c r="C89" s="156"/>
      <c r="D89" s="156"/>
    </row>
    <row r="90" spans="1:4">
      <c r="A90" s="126" t="s">
        <v>128</v>
      </c>
      <c r="B90" s="126"/>
      <c r="C90" s="126"/>
      <c r="D90" s="126"/>
    </row>
    <row r="91" spans="1:4">
      <c r="A91" s="128" t="s">
        <v>129</v>
      </c>
      <c r="B91" s="133" t="s">
        <v>130</v>
      </c>
      <c r="C91" s="128" t="s">
        <v>38</v>
      </c>
      <c r="D91" s="128" t="s">
        <v>19</v>
      </c>
    </row>
    <row r="92" spans="1:4">
      <c r="A92" s="128" t="s">
        <v>42</v>
      </c>
      <c r="B92" t="s">
        <v>214</v>
      </c>
      <c r="C92" s="151">
        <f>(((1+1/3)/12)/12)+((1/12)/12)</f>
        <v>0.0162037037037037</v>
      </c>
      <c r="D92" s="135">
        <f>TRUNC(($D$87*C92),2)</f>
        <v>83.17</v>
      </c>
    </row>
    <row r="93" spans="1:4">
      <c r="A93" s="128" t="s">
        <v>45</v>
      </c>
      <c r="B93" t="s">
        <v>133</v>
      </c>
      <c r="C93" s="145">
        <f>((5/30)/12)</f>
        <v>0.0138888888888889</v>
      </c>
      <c r="D93" s="149">
        <f t="shared" ref="D92:D96" si="1">TRUNC(($D$87*C93),2)</f>
        <v>71.29</v>
      </c>
    </row>
    <row r="94" spans="1:4">
      <c r="A94" s="128" t="s">
        <v>48</v>
      </c>
      <c r="B94" t="s">
        <v>134</v>
      </c>
      <c r="C94" s="145">
        <f>((5/30)/12)*0.02</f>
        <v>0.000277777777777778</v>
      </c>
      <c r="D94" s="149">
        <f t="shared" si="1"/>
        <v>1.42</v>
      </c>
    </row>
    <row r="95" ht="30" spans="1:4">
      <c r="A95" s="147" t="s">
        <v>50</v>
      </c>
      <c r="B95" s="152" t="s">
        <v>135</v>
      </c>
      <c r="C95" s="153">
        <f>((15/30)/12)*0.08</f>
        <v>0.00333333333333333</v>
      </c>
      <c r="D95" s="149">
        <f t="shared" si="1"/>
        <v>17.1</v>
      </c>
    </row>
    <row r="96" spans="1:4">
      <c r="A96" s="128" t="s">
        <v>53</v>
      </c>
      <c r="B96" t="s">
        <v>136</v>
      </c>
      <c r="C96" s="145">
        <f>((1+1/3)/12)*0.03*((4/12))</f>
        <v>0.00111111111111111</v>
      </c>
      <c r="D96" s="149">
        <f t="shared" si="1"/>
        <v>5.7</v>
      </c>
    </row>
    <row r="97" ht="30" spans="1:4">
      <c r="A97" s="128" t="s">
        <v>55</v>
      </c>
      <c r="B97" s="152" t="s">
        <v>215</v>
      </c>
      <c r="C97" s="157">
        <v>0</v>
      </c>
      <c r="D97" s="149">
        <f>TRUNC($D$87*C97)</f>
        <v>0</v>
      </c>
    </row>
    <row r="98" spans="1:4">
      <c r="A98" s="128" t="s">
        <v>58</v>
      </c>
      <c r="C98" s="151">
        <f>SUM(C92:C97)</f>
        <v>0.0348148148148148</v>
      </c>
      <c r="D98" s="135">
        <f>TRUNC((SUM(D92:D97)),2)</f>
        <v>178.68</v>
      </c>
    </row>
    <row r="99" spans="1:4">
      <c r="A99" s="128"/>
      <c r="C99" s="128"/>
      <c r="D99" s="135"/>
    </row>
    <row r="100" spans="1:4">
      <c r="A100" s="126" t="s">
        <v>144</v>
      </c>
      <c r="B100" s="126"/>
      <c r="C100" s="126"/>
      <c r="D100" s="126"/>
    </row>
    <row r="101" spans="1:4">
      <c r="A101" s="128" t="s">
        <v>145</v>
      </c>
      <c r="B101" s="133" t="s">
        <v>146</v>
      </c>
      <c r="C101" s="128" t="s">
        <v>18</v>
      </c>
      <c r="D101" s="128" t="s">
        <v>19</v>
      </c>
    </row>
    <row r="102" ht="105" spans="1:4">
      <c r="A102" s="147" t="s">
        <v>42</v>
      </c>
      <c r="B102" s="158" t="s">
        <v>147</v>
      </c>
      <c r="C102" s="159" t="s">
        <v>216</v>
      </c>
      <c r="D102" s="160" t="s">
        <v>217</v>
      </c>
    </row>
    <row r="103" spans="1:4">
      <c r="A103" s="128" t="s">
        <v>58</v>
      </c>
      <c r="C103" s="161"/>
      <c r="D103" s="162" t="str">
        <f>D102</f>
        <v>*=TRUNCAR(($D$86/220)*(1*(365/12))/2)</v>
      </c>
    </row>
    <row r="105" spans="1:4">
      <c r="A105" s="126" t="s">
        <v>148</v>
      </c>
      <c r="B105" s="126"/>
      <c r="C105" s="126"/>
      <c r="D105" s="126"/>
    </row>
    <row r="106" spans="1:4">
      <c r="A106" s="128" t="s">
        <v>149</v>
      </c>
      <c r="B106" s="133" t="s">
        <v>150</v>
      </c>
      <c r="C106" s="128" t="s">
        <v>18</v>
      </c>
      <c r="D106" s="128" t="s">
        <v>19</v>
      </c>
    </row>
    <row r="107" spans="1:4">
      <c r="A107" s="128" t="s">
        <v>129</v>
      </c>
      <c r="B107" t="s">
        <v>130</v>
      </c>
      <c r="D107" s="130">
        <f>D98</f>
        <v>178.68</v>
      </c>
    </row>
    <row r="108" spans="1:4">
      <c r="A108" s="128" t="s">
        <v>145</v>
      </c>
      <c r="B108" t="s">
        <v>151</v>
      </c>
      <c r="C108" s="133"/>
      <c r="D108" s="163" t="str">
        <f>Submódulo4.260_81[[#Totals],[Valor]]</f>
        <v>*=TRUNCAR(($D$86/220)*(1*(365/12))/2)</v>
      </c>
    </row>
    <row r="109" ht="75" spans="1:4">
      <c r="A109" s="147" t="s">
        <v>58</v>
      </c>
      <c r="B109" s="148"/>
      <c r="C109" s="159" t="s">
        <v>218</v>
      </c>
      <c r="D109" s="164">
        <f>TRUNC((SUM(D107:D108)),2)</f>
        <v>178.68</v>
      </c>
    </row>
    <row r="111" spans="1:4">
      <c r="A111" s="110" t="s">
        <v>152</v>
      </c>
      <c r="B111" s="110"/>
      <c r="C111" s="110"/>
      <c r="D111" s="110"/>
    </row>
    <row r="112" spans="1:4">
      <c r="A112" s="128" t="s">
        <v>153</v>
      </c>
      <c r="B112" s="133" t="s">
        <v>154</v>
      </c>
      <c r="C112" s="128" t="s">
        <v>18</v>
      </c>
      <c r="D112" s="128" t="s">
        <v>19</v>
      </c>
    </row>
    <row r="113" spans="1:4">
      <c r="A113" s="128" t="s">
        <v>42</v>
      </c>
      <c r="B113" t="s">
        <v>219</v>
      </c>
      <c r="D113" s="165">
        <f>Uniformes!G13</f>
        <v>79.19</v>
      </c>
    </row>
    <row r="114" spans="1:4">
      <c r="A114" s="128" t="s">
        <v>45</v>
      </c>
      <c r="B114" t="s">
        <v>220</v>
      </c>
      <c r="D114" s="165">
        <v>0</v>
      </c>
    </row>
    <row r="115" spans="1:4">
      <c r="A115" s="128" t="s">
        <v>48</v>
      </c>
      <c r="B115" t="s">
        <v>156</v>
      </c>
      <c r="D115" s="165">
        <v>0</v>
      </c>
    </row>
    <row r="116" spans="1:4">
      <c r="A116" s="128" t="s">
        <v>50</v>
      </c>
      <c r="B116" t="s">
        <v>157</v>
      </c>
      <c r="D116" s="165">
        <v>0</v>
      </c>
    </row>
    <row r="117" spans="1:4">
      <c r="A117" s="128" t="s">
        <v>53</v>
      </c>
      <c r="B117" t="s">
        <v>221</v>
      </c>
      <c r="D117" s="165">
        <f>H116</f>
        <v>0</v>
      </c>
    </row>
    <row r="118" spans="1:4">
      <c r="A118" s="128" t="s">
        <v>58</v>
      </c>
      <c r="D118" s="166">
        <f>TRUNC(SUM(D113:D117),2)</f>
        <v>79.19</v>
      </c>
    </row>
    <row r="119" ht="15.75"/>
    <row r="120" ht="16.5" spans="1:4">
      <c r="A120" s="139" t="s">
        <v>222</v>
      </c>
      <c r="B120" s="139"/>
      <c r="C120" s="140" t="s">
        <v>202</v>
      </c>
      <c r="D120" s="141">
        <f>D31</f>
        <v>2629</v>
      </c>
    </row>
    <row r="121" ht="16.5" spans="1:4">
      <c r="A121" s="139"/>
      <c r="B121" s="139"/>
      <c r="C121" s="142" t="s">
        <v>212</v>
      </c>
      <c r="D121" s="141">
        <f>D72</f>
        <v>2360.96</v>
      </c>
    </row>
    <row r="122" ht="16.5" spans="1:4">
      <c r="A122" s="139"/>
      <c r="B122" s="139"/>
      <c r="C122" s="140" t="s">
        <v>213</v>
      </c>
      <c r="D122" s="141">
        <f>D82</f>
        <v>142.94</v>
      </c>
    </row>
    <row r="123" ht="16.5" spans="1:4">
      <c r="A123" s="139"/>
      <c r="B123" s="139"/>
      <c r="C123" s="142" t="s">
        <v>223</v>
      </c>
      <c r="D123" s="141">
        <f>D109</f>
        <v>178.68</v>
      </c>
    </row>
    <row r="124" ht="16.5" spans="1:4">
      <c r="A124" s="139"/>
      <c r="B124" s="139"/>
      <c r="C124" s="140" t="s">
        <v>224</v>
      </c>
      <c r="D124" s="141">
        <f>D118</f>
        <v>79.19</v>
      </c>
    </row>
    <row r="125" ht="16.5" spans="1:4">
      <c r="A125" s="139"/>
      <c r="B125" s="139"/>
      <c r="C125" s="142" t="s">
        <v>204</v>
      </c>
      <c r="D125" s="143">
        <f>TRUNC((SUM(D120:D124)),2)</f>
        <v>5390.77</v>
      </c>
    </row>
    <row r="126" ht="15.75"/>
    <row r="127" spans="1:4">
      <c r="A127" s="110" t="s">
        <v>164</v>
      </c>
      <c r="B127" s="110"/>
      <c r="C127" s="110"/>
      <c r="D127" s="110"/>
    </row>
    <row r="128" ht="15.75" spans="1:7">
      <c r="A128" s="128" t="s">
        <v>165</v>
      </c>
      <c r="B128" t="s">
        <v>166</v>
      </c>
      <c r="C128" s="128" t="s">
        <v>38</v>
      </c>
      <c r="D128" s="128" t="s">
        <v>19</v>
      </c>
      <c r="F128" s="167" t="s">
        <v>225</v>
      </c>
      <c r="G128" s="167"/>
    </row>
    <row r="129" ht="15.75" spans="1:7">
      <c r="A129" s="128" t="s">
        <v>42</v>
      </c>
      <c r="B129" t="s">
        <v>167</v>
      </c>
      <c r="C129" s="168">
        <v>0.04</v>
      </c>
      <c r="D129" s="165">
        <f>TRUNC(($D$125*C129),2)</f>
        <v>215.63</v>
      </c>
      <c r="F129" s="169" t="s">
        <v>226</v>
      </c>
      <c r="G129" s="153">
        <f>C131</f>
        <v>0.0865</v>
      </c>
    </row>
    <row r="130" ht="15.75" spans="1:7">
      <c r="A130" s="128" t="s">
        <v>45</v>
      </c>
      <c r="B130" t="s">
        <v>59</v>
      </c>
      <c r="C130" s="168">
        <v>0.05</v>
      </c>
      <c r="D130" s="165">
        <f>TRUNC((C130*(D125+D129)),2)</f>
        <v>280.32</v>
      </c>
      <c r="F130" s="170" t="s">
        <v>227</v>
      </c>
      <c r="G130" s="171">
        <f>TRUNC(SUM(D125,D129,D130),2)</f>
        <v>5886.72</v>
      </c>
    </row>
    <row r="131" ht="15.75" spans="1:7">
      <c r="A131" s="128" t="s">
        <v>48</v>
      </c>
      <c r="B131" t="s">
        <v>168</v>
      </c>
      <c r="C131" s="145">
        <f>SUM(C132:C134)</f>
        <v>0.0865</v>
      </c>
      <c r="D131" s="130">
        <f>TRUNC(SUM(D132:D134),2)</f>
        <v>557.4</v>
      </c>
      <c r="F131" s="169" t="s">
        <v>228</v>
      </c>
      <c r="G131" s="172">
        <f>(100-8.65)/100</f>
        <v>0.9135</v>
      </c>
    </row>
    <row r="132" ht="15.75" spans="1:7">
      <c r="A132" s="128"/>
      <c r="B132" t="s">
        <v>229</v>
      </c>
      <c r="C132" s="145">
        <v>0.0065</v>
      </c>
      <c r="D132" s="130">
        <f>TRUNC(($G$132*C132),2)</f>
        <v>41.88</v>
      </c>
      <c r="F132" s="170" t="s">
        <v>225</v>
      </c>
      <c r="G132" s="171">
        <f>TRUNC((G130/G131),2)</f>
        <v>6444.13</v>
      </c>
    </row>
    <row r="133" ht="15.75" spans="1:4">
      <c r="A133" s="128"/>
      <c r="B133" t="s">
        <v>230</v>
      </c>
      <c r="C133" s="145">
        <v>0.03</v>
      </c>
      <c r="D133" s="130">
        <f>TRUNC(($G$132*C133),2)</f>
        <v>193.32</v>
      </c>
    </row>
    <row r="134" spans="1:4">
      <c r="A134" s="128"/>
      <c r="B134" t="s">
        <v>231</v>
      </c>
      <c r="C134" s="145">
        <v>0.05</v>
      </c>
      <c r="D134" s="130">
        <f t="shared" ref="D132:D134" si="2">TRUNC(($G$132*C134),2)</f>
        <v>322.2</v>
      </c>
    </row>
    <row r="135" spans="1:4">
      <c r="A135" s="128" t="s">
        <v>58</v>
      </c>
      <c r="C135" s="173"/>
      <c r="D135" s="135">
        <f>TRUNC(SUM(D129:D131),2)</f>
        <v>1053.35</v>
      </c>
    </row>
    <row r="136" spans="1:4">
      <c r="A136" s="128"/>
      <c r="C136" s="173"/>
      <c r="D136" s="135"/>
    </row>
    <row r="138" spans="1:4">
      <c r="A138" s="110" t="s">
        <v>172</v>
      </c>
      <c r="B138" s="110"/>
      <c r="C138" s="110"/>
      <c r="D138" s="110"/>
    </row>
    <row r="139" spans="1:4">
      <c r="A139" s="128" t="s">
        <v>16</v>
      </c>
      <c r="B139" s="128" t="s">
        <v>173</v>
      </c>
      <c r="C139" s="128" t="s">
        <v>102</v>
      </c>
      <c r="D139" s="128" t="s">
        <v>19</v>
      </c>
    </row>
    <row r="140" spans="1:4">
      <c r="A140" s="128" t="s">
        <v>42</v>
      </c>
      <c r="B140" t="s">
        <v>36</v>
      </c>
      <c r="D140" s="135">
        <f>D31</f>
        <v>2629</v>
      </c>
    </row>
    <row r="141" spans="1:4">
      <c r="A141" s="128" t="s">
        <v>45</v>
      </c>
      <c r="B141" t="s">
        <v>61</v>
      </c>
      <c r="D141" s="135">
        <f>D72</f>
        <v>2360.96</v>
      </c>
    </row>
    <row r="142" spans="1:4">
      <c r="A142" s="128" t="s">
        <v>48</v>
      </c>
      <c r="B142" t="s">
        <v>108</v>
      </c>
      <c r="D142" s="135">
        <f>D82</f>
        <v>142.94</v>
      </c>
    </row>
    <row r="143" spans="1:4">
      <c r="A143" s="128" t="s">
        <v>50</v>
      </c>
      <c r="B143" t="s">
        <v>174</v>
      </c>
      <c r="D143" s="135">
        <f>D109</f>
        <v>178.68</v>
      </c>
    </row>
    <row r="144" spans="1:4">
      <c r="A144" s="128" t="s">
        <v>53</v>
      </c>
      <c r="B144" t="s">
        <v>152</v>
      </c>
      <c r="D144" s="135">
        <f>D118</f>
        <v>79.19</v>
      </c>
    </row>
    <row r="145" spans="2:4">
      <c r="B145" s="174" t="s">
        <v>175</v>
      </c>
      <c r="D145" s="135">
        <f>TRUNC(SUM(D140:D144),2)</f>
        <v>5390.77</v>
      </c>
    </row>
    <row r="146" spans="1:4">
      <c r="A146" s="128" t="s">
        <v>55</v>
      </c>
      <c r="B146" t="s">
        <v>164</v>
      </c>
      <c r="D146" s="135">
        <f>D135</f>
        <v>1053.35</v>
      </c>
    </row>
    <row r="147" spans="1:4">
      <c r="A147" s="175"/>
      <c r="B147" s="176" t="s">
        <v>233</v>
      </c>
      <c r="C147" s="175"/>
      <c r="D147" s="177">
        <f>TRUNC((SUM(D140:D144)+D146),2)</f>
        <v>6444.12</v>
      </c>
    </row>
    <row r="149" spans="1:1">
      <c r="A149" s="178" t="s">
        <v>252</v>
      </c>
    </row>
  </sheetData>
  <mergeCells count="33">
    <mergeCell ref="A2:D2"/>
    <mergeCell ref="A3:D3"/>
    <mergeCell ref="A6:D6"/>
    <mergeCell ref="C7:D7"/>
    <mergeCell ref="C8:D8"/>
    <mergeCell ref="C9:D9"/>
    <mergeCell ref="C10:D10"/>
    <mergeCell ref="A11:D11"/>
    <mergeCell ref="A12:B12"/>
    <mergeCell ref="A13:B13"/>
    <mergeCell ref="A14:B14"/>
    <mergeCell ref="A15:D15"/>
    <mergeCell ref="F15:G15"/>
    <mergeCell ref="F22:G22"/>
    <mergeCell ref="A23:D23"/>
    <mergeCell ref="F31:G31"/>
    <mergeCell ref="A33:D33"/>
    <mergeCell ref="A35:D35"/>
    <mergeCell ref="A45:D45"/>
    <mergeCell ref="A57:D57"/>
    <mergeCell ref="A67:D67"/>
    <mergeCell ref="A74:D74"/>
    <mergeCell ref="A89:D89"/>
    <mergeCell ref="A90:D90"/>
    <mergeCell ref="A100:D100"/>
    <mergeCell ref="A105:D105"/>
    <mergeCell ref="A111:D111"/>
    <mergeCell ref="A127:D127"/>
    <mergeCell ref="F128:G128"/>
    <mergeCell ref="A138:D138"/>
    <mergeCell ref="A41:B43"/>
    <mergeCell ref="A84:B87"/>
    <mergeCell ref="A120:B125"/>
  </mergeCells>
  <pageMargins left="0.75" right="0.75" top="1" bottom="1" header="0.5" footer="0.5"/>
  <pageSetup paperSize="9" orientation="landscape"/>
  <headerFooter/>
  <tableParts count="13">
    <tablePart r:id="rId1"/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</tableParts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J22"/>
  <sheetViews>
    <sheetView workbookViewId="0">
      <selection activeCell="J9" sqref="J9"/>
    </sheetView>
  </sheetViews>
  <sheetFormatPr defaultColWidth="8.88571428571429" defaultRowHeight="15"/>
  <cols>
    <col min="2" max="2" width="36.3333333333333" customWidth="1"/>
    <col min="3" max="3" width="24.1142857142857" customWidth="1"/>
    <col min="4" max="4" width="13" customWidth="1"/>
    <col min="5" max="5" width="30.6666666666667" customWidth="1"/>
    <col min="9" max="9" width="22.552380952381" customWidth="1"/>
    <col min="10" max="10" width="17.7809523809524" customWidth="1"/>
  </cols>
  <sheetData>
    <row r="1" ht="16.5" spans="2:10">
      <c r="B1" s="45" t="s">
        <v>253</v>
      </c>
      <c r="C1" s="46"/>
      <c r="D1" s="46"/>
      <c r="E1" s="47"/>
      <c r="F1" s="12"/>
      <c r="G1" s="12"/>
      <c r="H1" s="12"/>
      <c r="I1" s="12"/>
      <c r="J1" s="12"/>
    </row>
    <row r="2" ht="33" spans="2:10">
      <c r="B2" s="48" t="s">
        <v>254</v>
      </c>
      <c r="C2" s="49" t="s">
        <v>255</v>
      </c>
      <c r="D2" s="50" t="s">
        <v>256</v>
      </c>
      <c r="E2" s="51"/>
      <c r="F2" s="12"/>
      <c r="G2" s="12"/>
      <c r="H2" s="12"/>
      <c r="I2" s="12"/>
      <c r="J2" s="12"/>
    </row>
    <row r="3" ht="17.25" spans="2:10">
      <c r="B3" s="52" t="s">
        <v>257</v>
      </c>
      <c r="C3" s="53" t="s">
        <v>258</v>
      </c>
      <c r="D3" s="54" t="s">
        <v>259</v>
      </c>
      <c r="E3" s="55"/>
      <c r="F3" s="12"/>
      <c r="G3" s="12"/>
      <c r="H3" s="12"/>
      <c r="I3" s="12"/>
      <c r="J3" s="12"/>
    </row>
    <row r="4" ht="17.25" spans="2:10">
      <c r="B4" s="56">
        <f>RESUMO!D8</f>
        <v>200</v>
      </c>
      <c r="C4" s="57">
        <f>E19</f>
        <v>190.91</v>
      </c>
      <c r="D4" s="58">
        <f>TRUNC((B4*C4),2)</f>
        <v>38182</v>
      </c>
      <c r="E4" s="59"/>
      <c r="F4" s="12"/>
      <c r="G4" s="12"/>
      <c r="H4" s="60"/>
      <c r="I4" s="60"/>
      <c r="J4" s="60"/>
    </row>
    <row r="5" ht="17.25" spans="2:10">
      <c r="B5" s="61"/>
      <c r="C5" s="62"/>
      <c r="D5" s="62"/>
      <c r="E5" s="63"/>
      <c r="F5" s="12"/>
      <c r="G5" s="12"/>
      <c r="H5" s="60"/>
      <c r="I5" s="95" t="s">
        <v>225</v>
      </c>
      <c r="J5" s="96"/>
    </row>
    <row r="6" ht="17.25" spans="2:10">
      <c r="B6" s="61"/>
      <c r="C6" s="62"/>
      <c r="D6" s="62"/>
      <c r="E6" s="63"/>
      <c r="F6" s="12"/>
      <c r="G6" s="12"/>
      <c r="H6" s="60"/>
      <c r="I6" s="97" t="s">
        <v>226</v>
      </c>
      <c r="J6" s="98">
        <f>D18</f>
        <v>0.0865</v>
      </c>
    </row>
    <row r="7" ht="16.5" spans="2:10">
      <c r="B7" s="45" t="s">
        <v>260</v>
      </c>
      <c r="C7" s="46"/>
      <c r="D7" s="46"/>
      <c r="E7" s="47"/>
      <c r="F7" s="12"/>
      <c r="G7" s="12"/>
      <c r="H7" s="60"/>
      <c r="I7" s="99" t="s">
        <v>261</v>
      </c>
      <c r="J7" s="100">
        <f>E13</f>
        <v>174.4</v>
      </c>
    </row>
    <row r="8" ht="17.25" spans="2:10">
      <c r="B8" s="49" t="s">
        <v>262</v>
      </c>
      <c r="C8" s="49"/>
      <c r="D8" s="49"/>
      <c r="E8" s="64">
        <v>160</v>
      </c>
      <c r="F8" s="12"/>
      <c r="G8" s="12"/>
      <c r="H8" s="60"/>
      <c r="I8" s="97" t="s">
        <v>263</v>
      </c>
      <c r="J8" s="101">
        <f>(1-J6)</f>
        <v>0.9135</v>
      </c>
    </row>
    <row r="9" ht="16.5" spans="2:10">
      <c r="B9" s="65" t="s">
        <v>264</v>
      </c>
      <c r="C9" s="66"/>
      <c r="D9" s="67" t="s">
        <v>265</v>
      </c>
      <c r="E9" s="68" t="s">
        <v>266</v>
      </c>
      <c r="F9" s="12"/>
      <c r="G9" s="12"/>
      <c r="H9" s="60"/>
      <c r="I9" s="102"/>
      <c r="J9" s="102"/>
    </row>
    <row r="10" ht="15.75" spans="2:10">
      <c r="B10" s="69" t="s">
        <v>267</v>
      </c>
      <c r="C10" s="70"/>
      <c r="D10" s="71">
        <f>'Motorista Interestadual'!C129</f>
        <v>0.04</v>
      </c>
      <c r="E10" s="72">
        <f>TRUNC((E8*D10),2)</f>
        <v>6.4</v>
      </c>
      <c r="F10" s="12"/>
      <c r="G10" s="12"/>
      <c r="H10" s="60"/>
      <c r="I10" s="102"/>
      <c r="J10" s="102"/>
    </row>
    <row r="11" ht="16.5" spans="2:10">
      <c r="B11" s="73" t="s">
        <v>268</v>
      </c>
      <c r="C11" s="74"/>
      <c r="D11" s="71">
        <f>'Motorista Interestadual'!C130</f>
        <v>0.05</v>
      </c>
      <c r="E11" s="72">
        <f>TRUNC((E8*D11),2)</f>
        <v>8</v>
      </c>
      <c r="F11" s="12"/>
      <c r="G11" s="12"/>
      <c r="H11" s="60"/>
      <c r="I11" s="60"/>
      <c r="J11" s="60"/>
    </row>
    <row r="12" ht="17.25" spans="2:10">
      <c r="B12" s="75" t="s">
        <v>269</v>
      </c>
      <c r="C12" s="50"/>
      <c r="D12" s="51"/>
      <c r="E12" s="76">
        <f>TRUNC((SUM(E10:E11)),2)</f>
        <v>14.4</v>
      </c>
      <c r="F12" s="12"/>
      <c r="G12" s="12"/>
      <c r="H12" s="60"/>
      <c r="I12" s="60"/>
      <c r="J12" s="60"/>
    </row>
    <row r="13" ht="17.25" spans="2:10">
      <c r="B13" s="77" t="s">
        <v>204</v>
      </c>
      <c r="C13" s="78"/>
      <c r="D13" s="79"/>
      <c r="E13" s="76">
        <f>TRUNC((E8+E12),2)</f>
        <v>174.4</v>
      </c>
      <c r="F13" s="12"/>
      <c r="G13" s="12"/>
      <c r="H13" s="60"/>
      <c r="I13" s="60"/>
      <c r="J13" s="60"/>
    </row>
    <row r="14" ht="16.5" spans="2:10">
      <c r="B14" s="80" t="s">
        <v>270</v>
      </c>
      <c r="C14" s="81"/>
      <c r="D14" s="82" t="s">
        <v>265</v>
      </c>
      <c r="E14" s="83" t="s">
        <v>271</v>
      </c>
      <c r="F14" s="12"/>
      <c r="G14" s="12"/>
      <c r="H14" s="12"/>
      <c r="I14" s="12"/>
      <c r="J14" s="12"/>
    </row>
    <row r="15" ht="15.75" spans="2:10">
      <c r="B15" s="69" t="s">
        <v>64</v>
      </c>
      <c r="C15" s="70"/>
      <c r="D15" s="71">
        <f>'Motorista Interestadual'!C132</f>
        <v>0.0065</v>
      </c>
      <c r="E15" s="72">
        <f>(J7/J8)*(D15)</f>
        <v>1.24094143404488</v>
      </c>
      <c r="F15" s="12"/>
      <c r="G15" s="12"/>
      <c r="H15" s="12"/>
      <c r="I15" s="12"/>
      <c r="J15" s="12"/>
    </row>
    <row r="16" ht="15.75" spans="2:10">
      <c r="B16" s="73" t="s">
        <v>62</v>
      </c>
      <c r="C16" s="74"/>
      <c r="D16" s="71">
        <f>'Motorista Interestadual'!C133</f>
        <v>0.03</v>
      </c>
      <c r="E16" s="72">
        <f>(J7/J8)*(D16)</f>
        <v>5.72742200328407</v>
      </c>
      <c r="F16" s="12"/>
      <c r="G16" s="12"/>
      <c r="H16" s="12"/>
      <c r="I16" s="12"/>
      <c r="J16" s="12"/>
    </row>
    <row r="17" ht="15.75" spans="2:10">
      <c r="B17" s="69" t="s">
        <v>60</v>
      </c>
      <c r="C17" s="70"/>
      <c r="D17" s="71">
        <f>'Motorista Interestadual'!C134</f>
        <v>0.05</v>
      </c>
      <c r="E17" s="84">
        <f>(E13/J8)*(D17)</f>
        <v>9.54570333880679</v>
      </c>
      <c r="F17" s="12"/>
      <c r="G17" s="12"/>
      <c r="H17" s="12"/>
      <c r="I17" s="12"/>
      <c r="J17" s="12"/>
    </row>
    <row r="18" ht="16.5" spans="2:10">
      <c r="B18" s="85" t="s">
        <v>226</v>
      </c>
      <c r="C18" s="86"/>
      <c r="D18" s="87">
        <f>SUM(D15:D17)</f>
        <v>0.0865</v>
      </c>
      <c r="E18" s="88">
        <f>SUM(E15:E17)</f>
        <v>16.5140667761357</v>
      </c>
      <c r="F18" s="12"/>
      <c r="G18" s="12"/>
      <c r="H18" s="12"/>
      <c r="I18" s="12"/>
      <c r="J18" s="12"/>
    </row>
    <row r="19" ht="17.25" spans="2:10">
      <c r="B19" s="89" t="s">
        <v>204</v>
      </c>
      <c r="C19" s="90"/>
      <c r="D19" s="91"/>
      <c r="E19" s="92">
        <f>TRUNC((E13+E18),2)</f>
        <v>190.91</v>
      </c>
      <c r="F19" s="12"/>
      <c r="G19" s="12"/>
      <c r="H19" s="12"/>
      <c r="I19" s="12"/>
      <c r="J19" s="12"/>
    </row>
    <row r="20" ht="15.75" spans="2:10">
      <c r="B20" s="93"/>
      <c r="C20" s="93"/>
      <c r="D20" s="93"/>
      <c r="E20" s="93"/>
      <c r="F20" s="12"/>
      <c r="G20" s="12"/>
      <c r="H20" s="12"/>
      <c r="I20" s="12"/>
      <c r="J20" s="12"/>
    </row>
    <row r="21" spans="2:10">
      <c r="B21" s="94" t="s">
        <v>272</v>
      </c>
      <c r="C21" s="94"/>
      <c r="D21" s="94"/>
      <c r="E21" s="94"/>
      <c r="F21" s="12"/>
      <c r="G21" s="12"/>
      <c r="H21" s="12"/>
      <c r="I21" s="12"/>
      <c r="J21" s="12"/>
    </row>
    <row r="22" spans="2:10">
      <c r="B22" s="94" t="s">
        <v>273</v>
      </c>
      <c r="C22" s="94"/>
      <c r="D22" s="94"/>
      <c r="E22" s="94"/>
      <c r="F22" s="12"/>
      <c r="G22" s="12"/>
      <c r="H22" s="12"/>
      <c r="I22" s="12"/>
      <c r="J22" s="12"/>
    </row>
  </sheetData>
  <mergeCells count="20">
    <mergeCell ref="B1:E1"/>
    <mergeCell ref="D2:E2"/>
    <mergeCell ref="D3:E3"/>
    <mergeCell ref="D4:E4"/>
    <mergeCell ref="I5:J5"/>
    <mergeCell ref="B7:E7"/>
    <mergeCell ref="B8:D8"/>
    <mergeCell ref="B9:C9"/>
    <mergeCell ref="B10:C10"/>
    <mergeCell ref="B11:C11"/>
    <mergeCell ref="B12:D12"/>
    <mergeCell ref="B13:D13"/>
    <mergeCell ref="B14:C14"/>
    <mergeCell ref="B15:C15"/>
    <mergeCell ref="B16:C16"/>
    <mergeCell ref="B17:C17"/>
    <mergeCell ref="B18:C18"/>
    <mergeCell ref="B19:D19"/>
    <mergeCell ref="B21:E21"/>
    <mergeCell ref="B22:E22"/>
  </mergeCells>
  <pageMargins left="0.75" right="0.75" top="1" bottom="1" header="0.5" footer="0.5"/>
  <pageSetup paperSize="9" orientation="landscape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71"/>
  <sheetViews>
    <sheetView zoomScale="90" zoomScaleNormal="90" workbookViewId="0">
      <selection activeCell="A3" sqref="A3"/>
    </sheetView>
  </sheetViews>
  <sheetFormatPr defaultColWidth="9.14285714285714" defaultRowHeight="15" outlineLevelCol="7"/>
  <cols>
    <col min="2" max="2" width="15.7142857142857" style="25" customWidth="1"/>
    <col min="3" max="3" width="39.3619047619048" customWidth="1"/>
    <col min="4" max="4" width="13.4571428571429" style="1" customWidth="1"/>
    <col min="5" max="5" width="12.6952380952381" customWidth="1"/>
    <col min="6" max="6" width="14.5619047619048" customWidth="1"/>
    <col min="7" max="7" width="14.0761904761905" customWidth="1"/>
    <col min="8" max="8" width="15.0571428571429" customWidth="1"/>
  </cols>
  <sheetData>
    <row r="1" spans="1:8">
      <c r="A1" s="26" t="s">
        <v>274</v>
      </c>
      <c r="B1" s="27"/>
      <c r="C1" s="26"/>
      <c r="D1" s="28"/>
      <c r="E1" s="26"/>
      <c r="F1" s="26"/>
      <c r="G1" s="26"/>
      <c r="H1" s="26"/>
    </row>
    <row r="2" spans="1:8">
      <c r="A2" s="29" t="s">
        <v>275</v>
      </c>
      <c r="B2" s="30"/>
      <c r="C2" s="29"/>
      <c r="D2" s="31"/>
      <c r="E2" s="29"/>
      <c r="F2" s="29"/>
      <c r="G2" s="29"/>
      <c r="H2" s="29"/>
    </row>
    <row r="3" ht="60" spans="1:8">
      <c r="A3" s="32" t="s">
        <v>276</v>
      </c>
      <c r="B3" s="32" t="s">
        <v>277</v>
      </c>
      <c r="C3" s="32" t="s">
        <v>278</v>
      </c>
      <c r="D3" s="32" t="s">
        <v>279</v>
      </c>
      <c r="E3" s="32" t="s">
        <v>280</v>
      </c>
      <c r="F3" s="32" t="s">
        <v>281</v>
      </c>
      <c r="G3" s="32" t="s">
        <v>282</v>
      </c>
      <c r="H3" s="32" t="s">
        <v>283</v>
      </c>
    </row>
    <row r="4" ht="30" spans="1:8">
      <c r="A4" s="33">
        <v>1</v>
      </c>
      <c r="B4" s="34" t="s">
        <v>284</v>
      </c>
      <c r="C4" s="35" t="s">
        <v>285</v>
      </c>
      <c r="D4" s="34" t="s">
        <v>286</v>
      </c>
      <c r="E4" s="36">
        <v>50.6</v>
      </c>
      <c r="F4" s="34">
        <v>4</v>
      </c>
      <c r="G4" s="37">
        <f t="shared" ref="G4:G12" si="0">TRUNC(F4*E4,2)</f>
        <v>202.4</v>
      </c>
      <c r="H4" s="37">
        <f>TRUNC(G4/12,2)</f>
        <v>16.86</v>
      </c>
    </row>
    <row r="5" ht="90" spans="1:8">
      <c r="A5" s="33">
        <v>2</v>
      </c>
      <c r="B5" s="34" t="s">
        <v>287</v>
      </c>
      <c r="C5" s="35" t="s">
        <v>288</v>
      </c>
      <c r="D5" s="34" t="s">
        <v>286</v>
      </c>
      <c r="E5" s="36">
        <v>47.5</v>
      </c>
      <c r="F5" s="34">
        <v>4</v>
      </c>
      <c r="G5" s="37">
        <f t="shared" si="0"/>
        <v>190</v>
      </c>
      <c r="H5" s="37">
        <f t="shared" ref="H5:H12" si="1">TRUNC(G5/12,2)</f>
        <v>15.83</v>
      </c>
    </row>
    <row r="6" ht="151" customHeight="1" spans="1:8">
      <c r="A6" s="33">
        <v>3</v>
      </c>
      <c r="B6" s="34" t="s">
        <v>287</v>
      </c>
      <c r="C6" s="35" t="s">
        <v>289</v>
      </c>
      <c r="D6" s="34" t="s">
        <v>286</v>
      </c>
      <c r="E6" s="36">
        <v>29.17</v>
      </c>
      <c r="F6" s="34">
        <v>4</v>
      </c>
      <c r="G6" s="37">
        <f t="shared" si="0"/>
        <v>116.68</v>
      </c>
      <c r="H6" s="37">
        <f t="shared" si="1"/>
        <v>9.72</v>
      </c>
    </row>
    <row r="7" ht="75" spans="1:8">
      <c r="A7" s="33">
        <v>4</v>
      </c>
      <c r="B7" s="38" t="s">
        <v>290</v>
      </c>
      <c r="C7" s="35" t="s">
        <v>291</v>
      </c>
      <c r="D7" s="34" t="s">
        <v>286</v>
      </c>
      <c r="E7" s="36">
        <v>87.44</v>
      </c>
      <c r="F7" s="34">
        <v>2</v>
      </c>
      <c r="G7" s="37">
        <f t="shared" si="0"/>
        <v>174.88</v>
      </c>
      <c r="H7" s="37">
        <f t="shared" si="1"/>
        <v>14.57</v>
      </c>
    </row>
    <row r="8" ht="90" spans="1:8">
      <c r="A8" s="33">
        <v>5</v>
      </c>
      <c r="B8" s="38" t="s">
        <v>292</v>
      </c>
      <c r="C8" s="35" t="s">
        <v>293</v>
      </c>
      <c r="D8" s="34" t="s">
        <v>294</v>
      </c>
      <c r="E8" s="36">
        <v>32.13</v>
      </c>
      <c r="F8" s="34">
        <v>2</v>
      </c>
      <c r="G8" s="37">
        <f t="shared" si="0"/>
        <v>64.26</v>
      </c>
      <c r="H8" s="37">
        <f t="shared" si="1"/>
        <v>5.35</v>
      </c>
    </row>
    <row r="9" ht="30" spans="1:8">
      <c r="A9" s="33">
        <v>6</v>
      </c>
      <c r="B9" s="34" t="s">
        <v>295</v>
      </c>
      <c r="C9" s="35" t="s">
        <v>296</v>
      </c>
      <c r="D9" s="34" t="s">
        <v>294</v>
      </c>
      <c r="E9" s="36">
        <v>65.63</v>
      </c>
      <c r="F9" s="34">
        <v>2</v>
      </c>
      <c r="G9" s="37">
        <f t="shared" si="0"/>
        <v>131.26</v>
      </c>
      <c r="H9" s="37">
        <f t="shared" si="1"/>
        <v>10.93</v>
      </c>
    </row>
    <row r="10" spans="1:8">
      <c r="A10" s="33">
        <v>7</v>
      </c>
      <c r="B10" s="34" t="s">
        <v>297</v>
      </c>
      <c r="C10" s="35" t="s">
        <v>298</v>
      </c>
      <c r="D10" s="34" t="s">
        <v>286</v>
      </c>
      <c r="E10" s="36">
        <v>17.84</v>
      </c>
      <c r="F10" s="34">
        <v>2</v>
      </c>
      <c r="G10" s="37">
        <f t="shared" si="0"/>
        <v>35.68</v>
      </c>
      <c r="H10" s="37">
        <f t="shared" si="1"/>
        <v>2.97</v>
      </c>
    </row>
    <row r="11" ht="45" spans="1:8">
      <c r="A11" s="33">
        <v>8</v>
      </c>
      <c r="B11" s="34" t="s">
        <v>299</v>
      </c>
      <c r="C11" s="35" t="s">
        <v>300</v>
      </c>
      <c r="D11" s="34" t="s">
        <v>294</v>
      </c>
      <c r="E11" s="36">
        <v>7.9</v>
      </c>
      <c r="F11" s="34">
        <v>4</v>
      </c>
      <c r="G11" s="37">
        <f t="shared" si="0"/>
        <v>31.6</v>
      </c>
      <c r="H11" s="37">
        <f t="shared" si="1"/>
        <v>2.63</v>
      </c>
    </row>
    <row r="12" ht="45" spans="1:8">
      <c r="A12" s="33">
        <v>9</v>
      </c>
      <c r="B12" s="34" t="s">
        <v>301</v>
      </c>
      <c r="C12" s="35" t="s">
        <v>302</v>
      </c>
      <c r="D12" s="34" t="s">
        <v>286</v>
      </c>
      <c r="E12" s="36">
        <v>3.98</v>
      </c>
      <c r="F12" s="34">
        <v>1</v>
      </c>
      <c r="G12" s="37">
        <f t="shared" si="0"/>
        <v>3.98</v>
      </c>
      <c r="H12" s="37">
        <f t="shared" si="1"/>
        <v>0.33</v>
      </c>
    </row>
    <row r="13" spans="1:8">
      <c r="A13" s="39" t="s">
        <v>204</v>
      </c>
      <c r="B13" s="39"/>
      <c r="C13" s="39"/>
      <c r="D13" s="39"/>
      <c r="E13" s="39"/>
      <c r="F13" s="39"/>
      <c r="G13" s="40">
        <f>TRUNC(SUM(H4:H12),2)</f>
        <v>79.19</v>
      </c>
      <c r="H13" s="40"/>
    </row>
    <row r="16" spans="1:8">
      <c r="A16" s="26" t="s">
        <v>274</v>
      </c>
      <c r="B16" s="27"/>
      <c r="C16" s="26"/>
      <c r="D16" s="28"/>
      <c r="E16" s="26"/>
      <c r="F16" s="26"/>
      <c r="G16" s="26"/>
      <c r="H16" s="26"/>
    </row>
    <row r="17" spans="1:8">
      <c r="A17" s="29" t="s">
        <v>303</v>
      </c>
      <c r="B17" s="30"/>
      <c r="C17" s="29"/>
      <c r="D17" s="31"/>
      <c r="E17" s="29"/>
      <c r="F17" s="29"/>
      <c r="G17" s="29"/>
      <c r="H17" s="29"/>
    </row>
    <row r="18" ht="60" spans="1:8">
      <c r="A18" s="32" t="s">
        <v>276</v>
      </c>
      <c r="B18" s="32" t="s">
        <v>277</v>
      </c>
      <c r="C18" s="32" t="s">
        <v>278</v>
      </c>
      <c r="D18" s="32" t="s">
        <v>279</v>
      </c>
      <c r="E18" s="32" t="s">
        <v>280</v>
      </c>
      <c r="F18" s="32" t="s">
        <v>281</v>
      </c>
      <c r="G18" s="32" t="s">
        <v>282</v>
      </c>
      <c r="H18" s="32" t="s">
        <v>283</v>
      </c>
    </row>
    <row r="19" ht="30" spans="1:8">
      <c r="A19" s="33">
        <v>1</v>
      </c>
      <c r="B19" s="34" t="s">
        <v>284</v>
      </c>
      <c r="C19" s="35" t="s">
        <v>304</v>
      </c>
      <c r="D19" s="34" t="s">
        <v>286</v>
      </c>
      <c r="E19" s="36">
        <v>49.99</v>
      </c>
      <c r="F19" s="34">
        <v>4</v>
      </c>
      <c r="G19" s="37">
        <f>TRUNC(F19*E19,2)</f>
        <v>199.96</v>
      </c>
      <c r="H19" s="37">
        <f>TRUNC(G19/12,2)</f>
        <v>16.66</v>
      </c>
    </row>
    <row r="20" ht="30" spans="1:8">
      <c r="A20" s="33">
        <v>2</v>
      </c>
      <c r="B20" s="34" t="s">
        <v>305</v>
      </c>
      <c r="C20" s="35" t="s">
        <v>306</v>
      </c>
      <c r="D20" s="34" t="s">
        <v>286</v>
      </c>
      <c r="E20" s="36">
        <v>42.7</v>
      </c>
      <c r="F20" s="34">
        <v>4</v>
      </c>
      <c r="G20" s="37">
        <f>TRUNC(F20*E20,2)</f>
        <v>170.8</v>
      </c>
      <c r="H20" s="37">
        <f t="shared" ref="H20:H26" si="2">TRUNC(G20/12,2)</f>
        <v>14.23</v>
      </c>
    </row>
    <row r="21" ht="45" spans="1:8">
      <c r="A21" s="33">
        <v>3</v>
      </c>
      <c r="B21" s="34" t="s">
        <v>307</v>
      </c>
      <c r="C21" s="35" t="s">
        <v>308</v>
      </c>
      <c r="D21" s="34" t="s">
        <v>286</v>
      </c>
      <c r="E21" s="36">
        <v>42.25</v>
      </c>
      <c r="F21" s="34">
        <v>2</v>
      </c>
      <c r="G21" s="37">
        <f t="shared" ref="G21:G26" si="3">TRUNC(F21*E21,2)</f>
        <v>84.5</v>
      </c>
      <c r="H21" s="37">
        <f t="shared" si="2"/>
        <v>7.04</v>
      </c>
    </row>
    <row r="22" ht="90" spans="1:8">
      <c r="A22" s="33">
        <v>4</v>
      </c>
      <c r="B22" s="34" t="s">
        <v>287</v>
      </c>
      <c r="C22" s="35" t="s">
        <v>309</v>
      </c>
      <c r="D22" s="34" t="s">
        <v>286</v>
      </c>
      <c r="E22" s="36">
        <v>36.89</v>
      </c>
      <c r="F22" s="34">
        <v>4</v>
      </c>
      <c r="G22" s="37">
        <f t="shared" si="3"/>
        <v>147.56</v>
      </c>
      <c r="H22" s="37">
        <f t="shared" si="2"/>
        <v>12.29</v>
      </c>
    </row>
    <row r="23" ht="151" customHeight="1" spans="1:8">
      <c r="A23" s="33">
        <v>5</v>
      </c>
      <c r="B23" s="34" t="s">
        <v>287</v>
      </c>
      <c r="C23" s="35" t="s">
        <v>310</v>
      </c>
      <c r="D23" s="34" t="s">
        <v>286</v>
      </c>
      <c r="E23" s="36">
        <v>29.17</v>
      </c>
      <c r="F23" s="34">
        <v>4</v>
      </c>
      <c r="G23" s="37">
        <f t="shared" si="3"/>
        <v>116.68</v>
      </c>
      <c r="H23" s="37">
        <f t="shared" si="2"/>
        <v>9.72</v>
      </c>
    </row>
    <row r="24" ht="30" spans="1:8">
      <c r="A24" s="33">
        <v>6</v>
      </c>
      <c r="B24" s="34" t="s">
        <v>295</v>
      </c>
      <c r="C24" s="35" t="s">
        <v>296</v>
      </c>
      <c r="D24" s="34" t="s">
        <v>294</v>
      </c>
      <c r="E24" s="36">
        <v>65.63</v>
      </c>
      <c r="F24" s="34">
        <v>2</v>
      </c>
      <c r="G24" s="37">
        <f t="shared" si="3"/>
        <v>131.26</v>
      </c>
      <c r="H24" s="37">
        <f t="shared" si="2"/>
        <v>10.93</v>
      </c>
    </row>
    <row r="25" ht="75" spans="1:8">
      <c r="A25" s="33">
        <v>7</v>
      </c>
      <c r="B25" s="34" t="s">
        <v>299</v>
      </c>
      <c r="C25" s="35" t="s">
        <v>311</v>
      </c>
      <c r="D25" s="34" t="s">
        <v>294</v>
      </c>
      <c r="E25" s="36">
        <v>12.93</v>
      </c>
      <c r="F25" s="34">
        <v>4</v>
      </c>
      <c r="G25" s="37">
        <f t="shared" si="3"/>
        <v>51.72</v>
      </c>
      <c r="H25" s="37">
        <f t="shared" si="2"/>
        <v>4.31</v>
      </c>
    </row>
    <row r="26" ht="45" spans="1:8">
      <c r="A26" s="33">
        <v>8</v>
      </c>
      <c r="B26" s="34" t="s">
        <v>301</v>
      </c>
      <c r="C26" s="35" t="s">
        <v>302</v>
      </c>
      <c r="D26" s="34" t="s">
        <v>286</v>
      </c>
      <c r="E26" s="36">
        <v>3.98</v>
      </c>
      <c r="F26" s="34">
        <v>1</v>
      </c>
      <c r="G26" s="37">
        <f t="shared" si="3"/>
        <v>3.98</v>
      </c>
      <c r="H26" s="37">
        <f t="shared" si="2"/>
        <v>0.33</v>
      </c>
    </row>
    <row r="27" spans="1:8">
      <c r="A27" s="39" t="s">
        <v>204</v>
      </c>
      <c r="B27" s="39"/>
      <c r="C27" s="39"/>
      <c r="D27" s="39"/>
      <c r="E27" s="39"/>
      <c r="F27" s="39"/>
      <c r="G27" s="40">
        <f>TRUNC(SUM(H19:H26),2)</f>
        <v>75.51</v>
      </c>
      <c r="H27" s="40"/>
    </row>
    <row r="28" spans="1:8">
      <c r="A28" s="41"/>
      <c r="B28" s="42"/>
      <c r="C28" s="41"/>
      <c r="D28" s="43"/>
      <c r="E28" s="41"/>
      <c r="F28" s="41"/>
      <c r="G28" s="41"/>
      <c r="H28" s="41"/>
    </row>
    <row r="29" spans="1:8">
      <c r="A29" s="41"/>
      <c r="B29" s="42"/>
      <c r="C29" s="41"/>
      <c r="D29" s="43"/>
      <c r="E29" s="41"/>
      <c r="F29" s="41"/>
      <c r="G29" s="41"/>
      <c r="H29" s="41"/>
    </row>
    <row r="30" spans="1:8">
      <c r="A30" s="26" t="s">
        <v>274</v>
      </c>
      <c r="B30" s="27"/>
      <c r="C30" s="26"/>
      <c r="D30" s="28"/>
      <c r="E30" s="26"/>
      <c r="F30" s="26"/>
      <c r="G30" s="26"/>
      <c r="H30" s="26"/>
    </row>
    <row r="31" spans="1:8">
      <c r="A31" s="29" t="s">
        <v>312</v>
      </c>
      <c r="B31" s="30"/>
      <c r="C31" s="29"/>
      <c r="D31" s="31"/>
      <c r="E31" s="29"/>
      <c r="F31" s="29"/>
      <c r="G31" s="29"/>
      <c r="H31" s="29"/>
    </row>
    <row r="32" ht="60" spans="1:8">
      <c r="A32" s="32" t="s">
        <v>276</v>
      </c>
      <c r="B32" s="32" t="s">
        <v>277</v>
      </c>
      <c r="C32" s="32" t="s">
        <v>278</v>
      </c>
      <c r="D32" s="32" t="s">
        <v>279</v>
      </c>
      <c r="E32" s="32" t="s">
        <v>280</v>
      </c>
      <c r="F32" s="32" t="s">
        <v>281</v>
      </c>
      <c r="G32" s="32" t="s">
        <v>282</v>
      </c>
      <c r="H32" s="32" t="s">
        <v>283</v>
      </c>
    </row>
    <row r="33" ht="30" spans="1:8">
      <c r="A33" s="33">
        <v>1</v>
      </c>
      <c r="B33" s="34" t="s">
        <v>284</v>
      </c>
      <c r="C33" s="35" t="s">
        <v>304</v>
      </c>
      <c r="D33" s="34" t="s">
        <v>286</v>
      </c>
      <c r="E33" s="36">
        <v>49.99</v>
      </c>
      <c r="F33" s="34">
        <v>4</v>
      </c>
      <c r="G33" s="37">
        <f>TRUNC(F33*E33,2)</f>
        <v>199.96</v>
      </c>
      <c r="H33" s="37">
        <f>TRUNC(G33/12,2)</f>
        <v>16.66</v>
      </c>
    </row>
    <row r="34" ht="30" spans="1:8">
      <c r="A34" s="33">
        <v>2</v>
      </c>
      <c r="B34" s="34" t="s">
        <v>305</v>
      </c>
      <c r="C34" s="35" t="s">
        <v>306</v>
      </c>
      <c r="D34" s="34" t="s">
        <v>286</v>
      </c>
      <c r="E34" s="36">
        <v>42.7</v>
      </c>
      <c r="F34" s="34">
        <v>4</v>
      </c>
      <c r="G34" s="37">
        <f>TRUNC(F34*E34,2)</f>
        <v>170.8</v>
      </c>
      <c r="H34" s="37">
        <f>TRUNC(G34/12,2)</f>
        <v>14.23</v>
      </c>
    </row>
    <row r="35" ht="45" spans="1:8">
      <c r="A35" s="33">
        <v>3</v>
      </c>
      <c r="B35" s="34" t="s">
        <v>307</v>
      </c>
      <c r="C35" s="35" t="s">
        <v>308</v>
      </c>
      <c r="D35" s="34" t="s">
        <v>286</v>
      </c>
      <c r="E35" s="36">
        <v>42.25</v>
      </c>
      <c r="F35" s="34">
        <v>2</v>
      </c>
      <c r="G35" s="37">
        <f t="shared" ref="G35:G40" si="4">TRUNC(F35*E35,2)</f>
        <v>84.5</v>
      </c>
      <c r="H35" s="37">
        <f t="shared" ref="H35:H40" si="5">TRUNC(G35/12,2)</f>
        <v>7.04</v>
      </c>
    </row>
    <row r="36" ht="90" spans="1:8">
      <c r="A36" s="33">
        <v>4</v>
      </c>
      <c r="B36" s="34" t="s">
        <v>287</v>
      </c>
      <c r="C36" s="35" t="s">
        <v>309</v>
      </c>
      <c r="D36" s="34" t="s">
        <v>286</v>
      </c>
      <c r="E36" s="36">
        <v>36.89</v>
      </c>
      <c r="F36" s="34">
        <v>4</v>
      </c>
      <c r="G36" s="37">
        <f t="shared" si="4"/>
        <v>147.56</v>
      </c>
      <c r="H36" s="37">
        <f t="shared" si="5"/>
        <v>12.29</v>
      </c>
    </row>
    <row r="37" ht="149" customHeight="1" spans="1:8">
      <c r="A37" s="33">
        <v>5</v>
      </c>
      <c r="B37" s="34" t="s">
        <v>287</v>
      </c>
      <c r="C37" s="35" t="s">
        <v>310</v>
      </c>
      <c r="D37" s="34" t="s">
        <v>286</v>
      </c>
      <c r="E37" s="36">
        <v>29.17</v>
      </c>
      <c r="F37" s="34">
        <v>4</v>
      </c>
      <c r="G37" s="37">
        <f t="shared" si="4"/>
        <v>116.68</v>
      </c>
      <c r="H37" s="37">
        <f t="shared" si="5"/>
        <v>9.72</v>
      </c>
    </row>
    <row r="38" ht="30" spans="1:8">
      <c r="A38" s="33">
        <v>6</v>
      </c>
      <c r="B38" s="34" t="s">
        <v>295</v>
      </c>
      <c r="C38" s="35" t="s">
        <v>296</v>
      </c>
      <c r="D38" s="34" t="s">
        <v>294</v>
      </c>
      <c r="E38" s="36">
        <v>65.63</v>
      </c>
      <c r="F38" s="34">
        <v>2</v>
      </c>
      <c r="G38" s="37">
        <f t="shared" si="4"/>
        <v>131.26</v>
      </c>
      <c r="H38" s="37">
        <f t="shared" si="5"/>
        <v>10.93</v>
      </c>
    </row>
    <row r="39" ht="75" spans="1:8">
      <c r="A39" s="33">
        <v>7</v>
      </c>
      <c r="B39" s="34" t="s">
        <v>299</v>
      </c>
      <c r="C39" s="35" t="s">
        <v>311</v>
      </c>
      <c r="D39" s="34" t="s">
        <v>294</v>
      </c>
      <c r="E39" s="36">
        <v>12.93</v>
      </c>
      <c r="F39" s="34">
        <v>4</v>
      </c>
      <c r="G39" s="37">
        <f t="shared" si="4"/>
        <v>51.72</v>
      </c>
      <c r="H39" s="37">
        <f t="shared" si="5"/>
        <v>4.31</v>
      </c>
    </row>
    <row r="40" ht="45" spans="1:8">
      <c r="A40" s="33">
        <v>8</v>
      </c>
      <c r="B40" s="34" t="s">
        <v>301</v>
      </c>
      <c r="C40" s="35" t="s">
        <v>302</v>
      </c>
      <c r="D40" s="34" t="s">
        <v>286</v>
      </c>
      <c r="E40" s="36">
        <v>3.98</v>
      </c>
      <c r="F40" s="34">
        <v>1</v>
      </c>
      <c r="G40" s="37">
        <f t="shared" si="4"/>
        <v>3.98</v>
      </c>
      <c r="H40" s="37">
        <f t="shared" si="5"/>
        <v>0.33</v>
      </c>
    </row>
    <row r="41" spans="1:8">
      <c r="A41" s="39" t="s">
        <v>204</v>
      </c>
      <c r="B41" s="39"/>
      <c r="C41" s="39"/>
      <c r="D41" s="39"/>
      <c r="E41" s="39"/>
      <c r="F41" s="39"/>
      <c r="G41" s="40">
        <f>TRUNC(SUM(H33:H40),2)</f>
        <v>75.51</v>
      </c>
      <c r="H41" s="40"/>
    </row>
    <row r="44" spans="1:8">
      <c r="A44" s="26" t="s">
        <v>274</v>
      </c>
      <c r="B44" s="27"/>
      <c r="C44" s="26"/>
      <c r="D44" s="28"/>
      <c r="E44" s="26"/>
      <c r="F44" s="26"/>
      <c r="G44" s="26"/>
      <c r="H44" s="26"/>
    </row>
    <row r="45" spans="1:8">
      <c r="A45" s="29" t="s">
        <v>313</v>
      </c>
      <c r="B45" s="30"/>
      <c r="C45" s="29"/>
      <c r="D45" s="31"/>
      <c r="E45" s="29"/>
      <c r="F45" s="29"/>
      <c r="G45" s="29"/>
      <c r="H45" s="29"/>
    </row>
    <row r="46" ht="60" spans="1:8">
      <c r="A46" s="32" t="s">
        <v>276</v>
      </c>
      <c r="B46" s="32" t="s">
        <v>277</v>
      </c>
      <c r="C46" s="32" t="s">
        <v>278</v>
      </c>
      <c r="D46" s="32" t="s">
        <v>279</v>
      </c>
      <c r="E46" s="32" t="s">
        <v>280</v>
      </c>
      <c r="F46" s="32" t="s">
        <v>281</v>
      </c>
      <c r="G46" s="32" t="s">
        <v>282</v>
      </c>
      <c r="H46" s="32" t="s">
        <v>283</v>
      </c>
    </row>
    <row r="47" ht="30" spans="1:8">
      <c r="A47" s="33">
        <v>1</v>
      </c>
      <c r="B47" s="34" t="s">
        <v>284</v>
      </c>
      <c r="C47" s="35" t="s">
        <v>285</v>
      </c>
      <c r="D47" s="34" t="s">
        <v>286</v>
      </c>
      <c r="E47" s="36">
        <v>50.6</v>
      </c>
      <c r="F47" s="34">
        <v>4</v>
      </c>
      <c r="G47" s="37">
        <f t="shared" ref="G47:G55" si="6">TRUNC(F47*E47,2)</f>
        <v>202.4</v>
      </c>
      <c r="H47" s="37">
        <f t="shared" ref="H47:H55" si="7">TRUNC(G47/12,2)</f>
        <v>16.86</v>
      </c>
    </row>
    <row r="48" ht="90" spans="1:8">
      <c r="A48" s="33">
        <v>2</v>
      </c>
      <c r="B48" s="34" t="s">
        <v>287</v>
      </c>
      <c r="C48" s="35" t="s">
        <v>288</v>
      </c>
      <c r="D48" s="34" t="s">
        <v>286</v>
      </c>
      <c r="E48" s="36">
        <v>47.5</v>
      </c>
      <c r="F48" s="34">
        <v>4</v>
      </c>
      <c r="G48" s="37">
        <f t="shared" si="6"/>
        <v>190</v>
      </c>
      <c r="H48" s="37">
        <f t="shared" si="7"/>
        <v>15.83</v>
      </c>
    </row>
    <row r="49" ht="150" customHeight="1" spans="1:8">
      <c r="A49" s="33">
        <v>3</v>
      </c>
      <c r="B49" s="34" t="s">
        <v>287</v>
      </c>
      <c r="C49" s="35" t="s">
        <v>289</v>
      </c>
      <c r="D49" s="34" t="s">
        <v>286</v>
      </c>
      <c r="E49" s="36">
        <v>29.17</v>
      </c>
      <c r="F49" s="34">
        <v>4</v>
      </c>
      <c r="G49" s="37">
        <f t="shared" si="6"/>
        <v>116.68</v>
      </c>
      <c r="H49" s="37">
        <f t="shared" si="7"/>
        <v>9.72</v>
      </c>
    </row>
    <row r="50" ht="75" spans="1:8">
      <c r="A50" s="33"/>
      <c r="B50" s="34" t="s">
        <v>290</v>
      </c>
      <c r="C50" s="35" t="s">
        <v>291</v>
      </c>
      <c r="D50" s="34" t="s">
        <v>286</v>
      </c>
      <c r="E50" s="36">
        <v>87.44</v>
      </c>
      <c r="F50" s="34">
        <v>2</v>
      </c>
      <c r="G50" s="37">
        <f t="shared" si="6"/>
        <v>174.88</v>
      </c>
      <c r="H50" s="37">
        <f t="shared" si="7"/>
        <v>14.57</v>
      </c>
    </row>
    <row r="51" ht="30" spans="1:8">
      <c r="A51" s="33">
        <v>4</v>
      </c>
      <c r="B51" s="34" t="s">
        <v>295</v>
      </c>
      <c r="C51" s="35" t="s">
        <v>296</v>
      </c>
      <c r="D51" s="34" t="s">
        <v>294</v>
      </c>
      <c r="E51" s="36">
        <v>65.63</v>
      </c>
      <c r="F51" s="34">
        <v>2</v>
      </c>
      <c r="G51" s="37">
        <f t="shared" si="6"/>
        <v>131.26</v>
      </c>
      <c r="H51" s="37">
        <f t="shared" si="7"/>
        <v>10.93</v>
      </c>
    </row>
    <row r="52" ht="21" customHeight="1" spans="1:8">
      <c r="A52" s="33"/>
      <c r="B52" s="34" t="s">
        <v>297</v>
      </c>
      <c r="C52" s="35" t="s">
        <v>298</v>
      </c>
      <c r="D52" s="34" t="s">
        <v>286</v>
      </c>
      <c r="E52" s="36">
        <v>17.84</v>
      </c>
      <c r="F52" s="34">
        <v>2</v>
      </c>
      <c r="G52" s="37">
        <f t="shared" si="6"/>
        <v>35.68</v>
      </c>
      <c r="H52" s="37">
        <f t="shared" si="7"/>
        <v>2.97</v>
      </c>
    </row>
    <row r="53" ht="45" spans="1:8">
      <c r="A53" s="33">
        <v>5</v>
      </c>
      <c r="B53" s="34" t="s">
        <v>299</v>
      </c>
      <c r="C53" s="35" t="s">
        <v>300</v>
      </c>
      <c r="D53" s="34" t="s">
        <v>294</v>
      </c>
      <c r="E53" s="36">
        <v>7.9</v>
      </c>
      <c r="F53" s="34">
        <v>4</v>
      </c>
      <c r="G53" s="37">
        <f t="shared" si="6"/>
        <v>31.6</v>
      </c>
      <c r="H53" s="37">
        <f t="shared" si="7"/>
        <v>2.63</v>
      </c>
    </row>
    <row r="54" ht="30" spans="1:8">
      <c r="A54" s="33">
        <v>6</v>
      </c>
      <c r="B54" s="34" t="s">
        <v>314</v>
      </c>
      <c r="C54" s="44" t="s">
        <v>315</v>
      </c>
      <c r="D54" s="34" t="s">
        <v>286</v>
      </c>
      <c r="E54" s="36">
        <v>75.33</v>
      </c>
      <c r="F54" s="34">
        <v>2</v>
      </c>
      <c r="G54" s="37">
        <f t="shared" si="6"/>
        <v>150.66</v>
      </c>
      <c r="H54" s="37">
        <f t="shared" si="7"/>
        <v>12.55</v>
      </c>
    </row>
    <row r="55" ht="45" spans="1:8">
      <c r="A55" s="33">
        <v>7</v>
      </c>
      <c r="B55" s="34" t="s">
        <v>301</v>
      </c>
      <c r="C55" s="35" t="s">
        <v>302</v>
      </c>
      <c r="D55" s="34" t="s">
        <v>286</v>
      </c>
      <c r="E55" s="36">
        <v>3.98</v>
      </c>
      <c r="F55" s="34">
        <v>1</v>
      </c>
      <c r="G55" s="37">
        <f t="shared" si="6"/>
        <v>3.98</v>
      </c>
      <c r="H55" s="37">
        <f t="shared" si="7"/>
        <v>0.33</v>
      </c>
    </row>
    <row r="56" spans="1:8">
      <c r="A56" s="39" t="s">
        <v>204</v>
      </c>
      <c r="B56" s="39"/>
      <c r="C56" s="39"/>
      <c r="D56" s="39"/>
      <c r="E56" s="39"/>
      <c r="F56" s="39"/>
      <c r="G56" s="40">
        <f>TRUNC(SUM(H47:H55),2)</f>
        <v>86.39</v>
      </c>
      <c r="H56" s="40"/>
    </row>
    <row r="59" spans="1:8">
      <c r="A59" s="26" t="s">
        <v>274</v>
      </c>
      <c r="B59" s="27"/>
      <c r="C59" s="26"/>
      <c r="D59" s="28"/>
      <c r="E59" s="26"/>
      <c r="F59" s="26"/>
      <c r="G59" s="26"/>
      <c r="H59" s="26"/>
    </row>
    <row r="60" spans="1:8">
      <c r="A60" s="29" t="s">
        <v>316</v>
      </c>
      <c r="B60" s="30"/>
      <c r="C60" s="29"/>
      <c r="D60" s="31"/>
      <c r="E60" s="29"/>
      <c r="F60" s="29"/>
      <c r="G60" s="29"/>
      <c r="H60" s="29"/>
    </row>
    <row r="61" ht="60" spans="1:8">
      <c r="A61" s="32" t="s">
        <v>276</v>
      </c>
      <c r="B61" s="32" t="s">
        <v>277</v>
      </c>
      <c r="C61" s="32" t="s">
        <v>278</v>
      </c>
      <c r="D61" s="32" t="s">
        <v>279</v>
      </c>
      <c r="E61" s="32" t="s">
        <v>280</v>
      </c>
      <c r="F61" s="32" t="s">
        <v>281</v>
      </c>
      <c r="G61" s="32" t="s">
        <v>282</v>
      </c>
      <c r="H61" s="32" t="s">
        <v>283</v>
      </c>
    </row>
    <row r="62" ht="30" spans="1:8">
      <c r="A62" s="33">
        <v>1</v>
      </c>
      <c r="B62" s="34" t="s">
        <v>284</v>
      </c>
      <c r="C62" s="35" t="s">
        <v>304</v>
      </c>
      <c r="D62" s="34" t="s">
        <v>286</v>
      </c>
      <c r="E62" s="36">
        <v>49.99</v>
      </c>
      <c r="F62" s="34">
        <v>4</v>
      </c>
      <c r="G62" s="37">
        <f t="shared" ref="G62:G70" si="8">TRUNC(F62*E62,2)</f>
        <v>199.96</v>
      </c>
      <c r="H62" s="37">
        <f t="shared" ref="H62:H70" si="9">TRUNC(G62/12,2)</f>
        <v>16.66</v>
      </c>
    </row>
    <row r="63" ht="30" spans="1:8">
      <c r="A63" s="33">
        <v>2</v>
      </c>
      <c r="B63" s="34" t="s">
        <v>305</v>
      </c>
      <c r="C63" s="35" t="s">
        <v>306</v>
      </c>
      <c r="D63" s="34" t="s">
        <v>286</v>
      </c>
      <c r="E63" s="36">
        <v>42.7</v>
      </c>
      <c r="F63" s="34">
        <v>4</v>
      </c>
      <c r="G63" s="37">
        <f t="shared" si="8"/>
        <v>170.8</v>
      </c>
      <c r="H63" s="37">
        <f t="shared" si="9"/>
        <v>14.23</v>
      </c>
    </row>
    <row r="64" ht="45" spans="1:8">
      <c r="A64" s="33">
        <v>3</v>
      </c>
      <c r="B64" s="34" t="s">
        <v>307</v>
      </c>
      <c r="C64" s="35" t="s">
        <v>308</v>
      </c>
      <c r="D64" s="34" t="s">
        <v>286</v>
      </c>
      <c r="E64" s="36">
        <v>42.25</v>
      </c>
      <c r="F64" s="34">
        <v>2</v>
      </c>
      <c r="G64" s="37">
        <f t="shared" si="8"/>
        <v>84.5</v>
      </c>
      <c r="H64" s="37">
        <f t="shared" si="9"/>
        <v>7.04</v>
      </c>
    </row>
    <row r="65" ht="90" spans="1:8">
      <c r="A65" s="33">
        <v>4</v>
      </c>
      <c r="B65" s="34" t="s">
        <v>287</v>
      </c>
      <c r="C65" s="35" t="s">
        <v>309</v>
      </c>
      <c r="D65" s="34" t="s">
        <v>286</v>
      </c>
      <c r="E65" s="36">
        <v>36.89</v>
      </c>
      <c r="F65" s="34">
        <v>4</v>
      </c>
      <c r="G65" s="37">
        <f t="shared" si="8"/>
        <v>147.56</v>
      </c>
      <c r="H65" s="37">
        <f t="shared" si="9"/>
        <v>12.29</v>
      </c>
    </row>
    <row r="66" ht="165" spans="1:8">
      <c r="A66" s="33">
        <v>5</v>
      </c>
      <c r="B66" s="34" t="s">
        <v>287</v>
      </c>
      <c r="C66" s="35" t="s">
        <v>310</v>
      </c>
      <c r="D66" s="34" t="s">
        <v>286</v>
      </c>
      <c r="E66" s="36">
        <v>29.17</v>
      </c>
      <c r="F66" s="34">
        <v>4</v>
      </c>
      <c r="G66" s="37">
        <f t="shared" si="8"/>
        <v>116.68</v>
      </c>
      <c r="H66" s="37">
        <f t="shared" si="9"/>
        <v>9.72</v>
      </c>
    </row>
    <row r="67" ht="210" spans="1:8">
      <c r="A67" s="33">
        <v>6</v>
      </c>
      <c r="B67" s="34" t="s">
        <v>317</v>
      </c>
      <c r="C67" s="35" t="s">
        <v>318</v>
      </c>
      <c r="D67" s="34" t="s">
        <v>286</v>
      </c>
      <c r="E67" s="36">
        <v>56.3</v>
      </c>
      <c r="F67" s="34">
        <v>4</v>
      </c>
      <c r="G67" s="37">
        <f t="shared" si="8"/>
        <v>225.2</v>
      </c>
      <c r="H67" s="37">
        <f t="shared" si="9"/>
        <v>18.76</v>
      </c>
    </row>
    <row r="68" ht="30" spans="1:8">
      <c r="A68" s="33">
        <v>7</v>
      </c>
      <c r="B68" s="34" t="s">
        <v>295</v>
      </c>
      <c r="C68" s="35" t="s">
        <v>296</v>
      </c>
      <c r="D68" s="34" t="s">
        <v>294</v>
      </c>
      <c r="E68" s="36">
        <v>65.63</v>
      </c>
      <c r="F68" s="34">
        <v>2</v>
      </c>
      <c r="G68" s="37">
        <f t="shared" si="8"/>
        <v>131.26</v>
      </c>
      <c r="H68" s="37">
        <f t="shared" si="9"/>
        <v>10.93</v>
      </c>
    </row>
    <row r="69" ht="75" spans="1:8">
      <c r="A69" s="33">
        <v>8</v>
      </c>
      <c r="B69" s="34" t="s">
        <v>299</v>
      </c>
      <c r="C69" s="35" t="s">
        <v>311</v>
      </c>
      <c r="D69" s="34" t="s">
        <v>294</v>
      </c>
      <c r="E69" s="36">
        <v>12.93</v>
      </c>
      <c r="F69" s="34">
        <v>4</v>
      </c>
      <c r="G69" s="37">
        <f t="shared" si="8"/>
        <v>51.72</v>
      </c>
      <c r="H69" s="37">
        <f t="shared" si="9"/>
        <v>4.31</v>
      </c>
    </row>
    <row r="70" ht="45" spans="1:8">
      <c r="A70" s="33">
        <v>9</v>
      </c>
      <c r="B70" s="34" t="s">
        <v>301</v>
      </c>
      <c r="C70" s="35" t="s">
        <v>302</v>
      </c>
      <c r="D70" s="34" t="s">
        <v>286</v>
      </c>
      <c r="E70" s="36">
        <v>3.98</v>
      </c>
      <c r="F70" s="34">
        <v>1</v>
      </c>
      <c r="G70" s="37">
        <f t="shared" si="8"/>
        <v>3.98</v>
      </c>
      <c r="H70" s="37">
        <f t="shared" si="9"/>
        <v>0.33</v>
      </c>
    </row>
    <row r="71" spans="1:8">
      <c r="A71" s="39" t="s">
        <v>204</v>
      </c>
      <c r="B71" s="39"/>
      <c r="C71" s="39"/>
      <c r="D71" s="39"/>
      <c r="E71" s="39"/>
      <c r="F71" s="39"/>
      <c r="G71" s="40">
        <f>TRUNC(SUM(H62:H70),2)</f>
        <v>94.27</v>
      </c>
      <c r="H71" s="40"/>
    </row>
  </sheetData>
  <mergeCells count="20">
    <mergeCell ref="A1:H1"/>
    <mergeCell ref="A2:H2"/>
    <mergeCell ref="A13:F13"/>
    <mergeCell ref="G13:H13"/>
    <mergeCell ref="A16:H16"/>
    <mergeCell ref="A17:H17"/>
    <mergeCell ref="A27:F27"/>
    <mergeCell ref="G27:H27"/>
    <mergeCell ref="A30:H30"/>
    <mergeCell ref="A31:H31"/>
    <mergeCell ref="A41:F41"/>
    <mergeCell ref="G41:H41"/>
    <mergeCell ref="A44:H44"/>
    <mergeCell ref="A45:H45"/>
    <mergeCell ref="A56:F56"/>
    <mergeCell ref="G56:H56"/>
    <mergeCell ref="A59:H59"/>
    <mergeCell ref="A60:H60"/>
    <mergeCell ref="A71:F71"/>
    <mergeCell ref="G71:H71"/>
  </mergeCells>
  <pageMargins left="0.75" right="0.75" top="1" bottom="1" header="0.5" footer="0.5"/>
  <pageSetup paperSize="9" orientation="portrait"/>
  <headerFooter/>
  <tableParts count="5">
    <tablePart r:id="rId1"/>
    <tablePart r:id="rId2"/>
    <tablePart r:id="rId3"/>
    <tablePart r:id="rId4"/>
    <tablePart r:id="rId5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LibreOffice/6.1.5.2$Windows_X86_64 LibreOffice_project/90f8dcf33c87b3705e78202e3df5142b201bd805</Application>
  <HeadingPairs>
    <vt:vector size="2" baseType="variant">
      <vt:variant>
        <vt:lpstr>工作表</vt:lpstr>
      </vt:variant>
      <vt:variant>
        <vt:i4>11</vt:i4>
      </vt:variant>
    </vt:vector>
  </HeadingPairs>
  <TitlesOfParts>
    <vt:vector size="11" baseType="lpstr">
      <vt:lpstr>Orientações</vt:lpstr>
      <vt:lpstr>Servente</vt:lpstr>
      <vt:lpstr>Recepcionista Secretário(a)</vt:lpstr>
      <vt:lpstr>Téc. Saúde Bucal</vt:lpstr>
      <vt:lpstr>Copeiro (a)</vt:lpstr>
      <vt:lpstr>Portaria</vt:lpstr>
      <vt:lpstr>Motorista Interestadual</vt:lpstr>
      <vt:lpstr>Diárias</vt:lpstr>
      <vt:lpstr>Uniformes</vt:lpstr>
      <vt:lpstr>Materiais</vt:lpstr>
      <vt:lpstr>RESUMO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Carlos</dc:creator>
  <cp:lastModifiedBy>Licitação - Reitoria</cp:lastModifiedBy>
  <cp:revision>3</cp:revision>
  <dcterms:created xsi:type="dcterms:W3CDTF">2019-02-19T21:25:00Z</dcterms:created>
  <cp:lastPrinted>2020-02-20T19:26:00Z</cp:lastPrinted>
  <dcterms:modified xsi:type="dcterms:W3CDTF">2022-09-22T11:55:50Z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KSOProductBuildVer">
    <vt:lpwstr>1046-11.2.0.11306</vt:lpwstr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  <property fmtid="{D5CDD505-2E9C-101B-9397-08002B2CF9AE}" pid="9" name="ICV">
    <vt:lpwstr>18A9162D54AB41E494E9D3AFCF4BAAD2</vt:lpwstr>
  </property>
</Properties>
</file>